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10" activeTab="0"/>
  </bookViews>
  <sheets>
    <sheet name="FY 24-25" sheetId="1" r:id="rId1"/>
    <sheet name="FY 23-24" sheetId="2" r:id="rId2"/>
    <sheet name="FY 22-23" sheetId="3" r:id="rId3"/>
    <sheet name="FY 21-22" sheetId="4" r:id="rId4"/>
    <sheet name="FY 20-21" sheetId="5" r:id="rId5"/>
    <sheet name="FY 19-20" sheetId="6" r:id="rId6"/>
    <sheet name="FY 18-19" sheetId="7" r:id="rId7"/>
    <sheet name="FY 17-18" sheetId="8" r:id="rId8"/>
    <sheet name="FY 16-17" sheetId="9" r:id="rId9"/>
    <sheet name="FY 15-16" sheetId="10" r:id="rId10"/>
    <sheet name="FY 14 - 15" sheetId="11" r:id="rId11"/>
    <sheet name="FY 13 - 14" sheetId="12" r:id="rId12"/>
    <sheet name="FY 12 - 13" sheetId="13" r:id="rId13"/>
    <sheet name="FY 11 - 12" sheetId="14" r:id="rId14"/>
  </sheets>
  <definedNames>
    <definedName name="_xlfn.IFERROR" hidden="1">#NAME?</definedName>
    <definedName name="_xlnm.Print_Area" localSheetId="13">'FY 11 - 12'!$A$1:$L$64</definedName>
    <definedName name="_xlnm.Print_Area" localSheetId="12">'FY 12 - 13'!$A$1:$L$64</definedName>
    <definedName name="_xlnm.Print_Area" localSheetId="11">'FY 13 - 14'!$A$1:$L$64</definedName>
    <definedName name="_xlnm.Print_Area" localSheetId="10">'FY 14 - 15'!$A$1:$L$64</definedName>
    <definedName name="_xlnm.Print_Area" localSheetId="9">'FY 15-16'!$A$1:$L$64</definedName>
    <definedName name="_xlnm.Print_Area" localSheetId="8">'FY 16-17'!$A$1:$M$74</definedName>
    <definedName name="_xlnm.Print_Area" localSheetId="7">'FY 17-18'!$A$1:$M$74</definedName>
    <definedName name="_xlnm.Print_Area" localSheetId="6">'FY 18-19'!$A$1:$M$73</definedName>
    <definedName name="_xlnm.Print_Area" localSheetId="5">'FY 19-20'!$A$1:$K$67</definedName>
    <definedName name="_xlnm.Print_Area" localSheetId="4">'FY 20-21'!$A$1:$K$67</definedName>
    <definedName name="_xlnm.Print_Area" localSheetId="3">'FY 21-22'!$A$1:$K$67</definedName>
    <definedName name="_xlnm.Print_Area" localSheetId="2">'FY 22-23'!$A$1:$K$67</definedName>
    <definedName name="_xlnm.Print_Area" localSheetId="1">'FY 23-24'!$A$1:$K$67</definedName>
    <definedName name="_xlnm.Print_Area" localSheetId="0">'FY 24-25'!$A$1:$K$67</definedName>
  </definedNames>
  <calcPr fullCalcOnLoad="1"/>
</workbook>
</file>

<file path=xl/sharedStrings.xml><?xml version="1.0" encoding="utf-8"?>
<sst xmlns="http://schemas.openxmlformats.org/spreadsheetml/2006/main" count="957" uniqueCount="92">
  <si>
    <t>Distribution of Net Win:</t>
  </si>
  <si>
    <t>Credits</t>
  </si>
  <si>
    <t>Avg Daily</t>
  </si>
  <si>
    <t>Win/VGM</t>
  </si>
  <si>
    <t>Education</t>
  </si>
  <si>
    <t>Marketing</t>
  </si>
  <si>
    <t>Month</t>
  </si>
  <si>
    <t>Played</t>
  </si>
  <si>
    <t>Won</t>
  </si>
  <si>
    <t>Net Win</t>
  </si>
  <si>
    <t>VGM's</t>
  </si>
  <si>
    <t>per Day</t>
  </si>
  <si>
    <t>Contribution</t>
  </si>
  <si>
    <t>Commission</t>
  </si>
  <si>
    <t>Allowance</t>
  </si>
  <si>
    <t>Total</t>
  </si>
  <si>
    <t>Definition of Terms</t>
  </si>
  <si>
    <t>Credits Played:</t>
  </si>
  <si>
    <t>Credits Won:</t>
  </si>
  <si>
    <t>The amount of onscreen credits won on a VGM.  Also includes any progressive jackpot liability due to players.</t>
  </si>
  <si>
    <t>Net Win:</t>
  </si>
  <si>
    <t xml:space="preserve">The net revenues remaining after payout of prizes to players. (Credits Played less Credits Won)  Net win is </t>
  </si>
  <si>
    <t>commonly referred to as "Hold" or "Net Machine Income".</t>
  </si>
  <si>
    <t>Education Contribution:</t>
  </si>
  <si>
    <t>The portion of Net Win allocated to the State Education Fund for direct aid to education.</t>
  </si>
  <si>
    <t>Marketing Allowance:</t>
  </si>
  <si>
    <t>Distribution of Net Win per Legislation</t>
  </si>
  <si>
    <t>Source:  New York Lottery</t>
  </si>
  <si>
    <t>Fiscal Year 2011/12</t>
  </si>
  <si>
    <t>Free Play</t>
  </si>
  <si>
    <t>Agent Commission:</t>
  </si>
  <si>
    <t>The portion of Net Win paid to the casino operator as compensation for operating the gaming facility. Most operating expenses</t>
  </si>
  <si>
    <t xml:space="preserve">The portion of the Net Win paid to the casino operator to finance the costs of advertising, marketing and promoting </t>
  </si>
  <si>
    <t>video lottery play at the casino.</t>
  </si>
  <si>
    <t xml:space="preserve">The portion of Net Win used to reimburse gaming floor vendors (central system and game machine providers) and </t>
  </si>
  <si>
    <t>administer the Video Gaming Program (sometimes labeled "Lottery Administration").</t>
  </si>
  <si>
    <t>110-00 Rockaway Blvd.</t>
  </si>
  <si>
    <t>Jamaica, NY  11420</t>
  </si>
  <si>
    <t>www.rwnewyork.com</t>
  </si>
  <si>
    <t>(888) 888-8801</t>
  </si>
  <si>
    <t>Agent</t>
  </si>
  <si>
    <t>Gaming Floor</t>
  </si>
  <si>
    <t>&amp; Admin</t>
  </si>
  <si>
    <t xml:space="preserve">of the gaming facility are paid from the agent commission (including the horse racing subsidies), with the exception of the </t>
  </si>
  <si>
    <t xml:space="preserve">gaming floor itself, which is provided by the other vendors and paid for by the Lottery. </t>
  </si>
  <si>
    <t>Resorts World Casino New York City</t>
  </si>
  <si>
    <t>Gaming Floor &amp; Admin:</t>
  </si>
  <si>
    <t>The amount of promotional free play included in Credits Played that is subsidized by the State through a reduction to Net Win.</t>
  </si>
  <si>
    <t>Agent Commission</t>
  </si>
  <si>
    <t>Operator</t>
  </si>
  <si>
    <t>Purses</t>
  </si>
  <si>
    <t>Breeders</t>
  </si>
  <si>
    <t>NYRA Cap Ex</t>
  </si>
  <si>
    <t>NYRA Oper</t>
  </si>
  <si>
    <t>All net win: year 1 (10/28/11 - 10/27/12)</t>
  </si>
  <si>
    <t>All net win: year 2 (10/28/12 - 10/27/13)</t>
  </si>
  <si>
    <t>All net win: year 3 (10/28/13 &amp; beyond)</t>
  </si>
  <si>
    <t>Fiscal Year 2012/13</t>
  </si>
  <si>
    <t>The amount of onscreen credits wagered on a video gaming machine (VGM).  This amount includes Credits Played resulting</t>
  </si>
  <si>
    <t>from; (a) cash and vouchers inserted into a VGM, and (b) any Credits Won used to make a wager on a VGM.</t>
  </si>
  <si>
    <t>Free Play Allowance:</t>
  </si>
  <si>
    <t>Source:  New York State Gaming Commission</t>
  </si>
  <si>
    <t>Fiscal Year 2013/14</t>
  </si>
  <si>
    <t>The amount of onscreen credits won on a VGM (prize payout).  Also includes any progressive jackpot liability due to players.</t>
  </si>
  <si>
    <t>Fiscal Year 2014/15</t>
  </si>
  <si>
    <t>Fiscal Year 2015/16</t>
  </si>
  <si>
    <t>Fiscal Year 2016/2017</t>
  </si>
  <si>
    <t>Capital</t>
  </si>
  <si>
    <t>Award</t>
  </si>
  <si>
    <t>Resorts World Casino (no Nassau VGMs)</t>
  </si>
  <si>
    <t>Resorts World Casino (1,000 Nassau VGMs)</t>
  </si>
  <si>
    <t>Capital Award:</t>
  </si>
  <si>
    <t>The portion of Net Win allocated to the operators of the gaming facility that is restricted for capital project investments</t>
  </si>
  <si>
    <t>which improve the facilities and promote or encourage increased attendance at the video gaming facility. The Capital Award</t>
  </si>
  <si>
    <t>for Resorts World is not subject to an annual cap. To participate in the Capital Award program, Resorts World must</t>
  </si>
  <si>
    <t xml:space="preserve">designate at least 400 VGMs for Nassau OTB to receive 1% or 1,000 VGMs to receive 4%. </t>
  </si>
  <si>
    <t>Resorts World Casino (400 to 999 Nassau VGMs)</t>
  </si>
  <si>
    <t>as Nassau OTB VGMs.</t>
  </si>
  <si>
    <t>Pursuant to Tax Law 1617-a(a)(4), Resorts World can designate up to 1,000 VGMs as Nassau OTB VGMs. Effective 10/15/2016, Resorts World designated 460 VGMs</t>
  </si>
  <si>
    <t>The above figures are exclusive of the Nassau OTB vgms at Resorts World. See Nassau OTB at Resorts World report for additional information.</t>
  </si>
  <si>
    <t>Fiscal Year 2017/2018</t>
  </si>
  <si>
    <t>Fiscal Year 2018/2019</t>
  </si>
  <si>
    <t xml:space="preserve">Pursuant to Tax Law 1617-a(a)(4), Resorts World can designate up to 1,000 VGMs as Nassau OTB VGMs. </t>
  </si>
  <si>
    <t>Fiscal Year 2019/2020</t>
  </si>
  <si>
    <t xml:space="preserve">Pursuant to the new provisions, agent commission rates are inclusive of marketing and capital award funds. Agents shall dedicate </t>
  </si>
  <si>
    <r>
      <t>Effective April 12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, Chapter 59 of the Laws of 2019 repealed and replaced the existing marketing and capital award programs. </t>
    </r>
  </si>
  <si>
    <t>4% of net win to capital award projects.</t>
  </si>
  <si>
    <t>Fiscal Year 2020/2021</t>
  </si>
  <si>
    <t>Fiscal Year 2021/2022</t>
  </si>
  <si>
    <t>Fiscal Year 2022/2023</t>
  </si>
  <si>
    <t>Fiscal Year 2023/2024</t>
  </si>
  <si>
    <t>Fiscal Year 2024/2025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</si>
</sst>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&quot;$&quot;#,##0.0_);[Red]\(&quot;$&quot;#,##0.0\)"/>
    <numFmt numFmtId="167" formatCode="[$-409]h:mm:ss\ AM/PM"/>
    <numFmt numFmtId="168" formatCode="0.00%;[Red]\(0.00%\)"/>
    <numFmt numFmtId="169" formatCode="m/d/yy;@"/>
    <numFmt numFmtId="170" formatCode="[Red]0.00%\)\(0.00%\)"/>
    <numFmt numFmtId="171" formatCode="0.00%_);[Red]\(0.00%\)"/>
    <numFmt numFmtId="172" formatCode="&quot;$&quot;#,##0.000_);[Red]\(&quot;$&quot;#,##0.000\)"/>
    <numFmt numFmtId="173" formatCode="&quot;$&quot;#,##0.0000_);[Red]\(&quot;$&quot;#,##0.0000\)"/>
    <numFmt numFmtId="174" formatCode="&quot;$&quot;#,##0.00"/>
    <numFmt numFmtId="175" formatCode="&quot;$&quot;#,##0.0"/>
    <numFmt numFmtId="176" formatCode="&quot;$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\-yyyy"/>
  </numFmts>
  <fonts count="49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u val="single"/>
      <sz val="12"/>
      <color indexed="12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 vertical="top"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/>
    </xf>
    <xf numFmtId="6" fontId="7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6" fontId="0" fillId="0" borderId="0" xfId="0" applyNumberFormat="1" applyAlignment="1">
      <alignment horizontal="left"/>
    </xf>
    <xf numFmtId="6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6" fontId="9" fillId="0" borderId="10" xfId="0" applyNumberFormat="1" applyFont="1" applyBorder="1" applyAlignment="1">
      <alignment horizontal="center"/>
    </xf>
    <xf numFmtId="165" fontId="9" fillId="0" borderId="0" xfId="0" applyNumberFormat="1" applyFont="1" applyAlignment="1">
      <alignment horizontal="center"/>
    </xf>
    <xf numFmtId="6" fontId="9" fillId="0" borderId="0" xfId="0" applyNumberFormat="1" applyFont="1" applyAlignment="1">
      <alignment horizontal="center"/>
    </xf>
    <xf numFmtId="38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5" fontId="9" fillId="0" borderId="10" xfId="0" applyNumberFormat="1" applyFont="1" applyBorder="1" applyAlignment="1">
      <alignment horizontal="center"/>
    </xf>
    <xf numFmtId="38" fontId="9" fillId="0" borderId="10" xfId="0" applyNumberFormat="1" applyFont="1" applyBorder="1" applyAlignment="1">
      <alignment horizontal="center"/>
    </xf>
    <xf numFmtId="6" fontId="9" fillId="0" borderId="0" xfId="0" applyNumberFormat="1" applyFont="1" applyBorder="1" applyAlignment="1">
      <alignment horizontal="center"/>
    </xf>
    <xf numFmtId="6" fontId="0" fillId="0" borderId="0" xfId="0" applyNumberFormat="1" applyAlignment="1">
      <alignment/>
    </xf>
    <xf numFmtId="38" fontId="0" fillId="0" borderId="0" xfId="0" applyNumberFormat="1" applyAlignment="1">
      <alignment/>
    </xf>
    <xf numFmtId="6" fontId="0" fillId="0" borderId="11" xfId="0" applyNumberFormat="1" applyBorder="1" applyAlignment="1">
      <alignment/>
    </xf>
    <xf numFmtId="6" fontId="0" fillId="0" borderId="0" xfId="0" applyNumberFormat="1" applyBorder="1" applyAlignment="1">
      <alignment/>
    </xf>
    <xf numFmtId="171" fontId="0" fillId="0" borderId="0" xfId="0" applyNumberFormat="1" applyAlignment="1">
      <alignment horizontal="center"/>
    </xf>
    <xf numFmtId="171" fontId="0" fillId="0" borderId="0" xfId="0" applyNumberFormat="1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165" fontId="8" fillId="0" borderId="0" xfId="0" applyNumberFormat="1" applyFont="1" applyAlignment="1">
      <alignment horizontal="left"/>
    </xf>
    <xf numFmtId="6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65" fontId="10" fillId="0" borderId="0" xfId="0" applyNumberFormat="1" applyFont="1" applyAlignment="1">
      <alignment horizontal="left"/>
    </xf>
    <xf numFmtId="6" fontId="10" fillId="0" borderId="0" xfId="0" applyNumberFormat="1" applyFont="1" applyAlignment="1">
      <alignment/>
    </xf>
    <xf numFmtId="38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165" fontId="8" fillId="0" borderId="0" xfId="61" applyNumberFormat="1" applyFont="1" applyAlignment="1">
      <alignment horizontal="left"/>
      <protection/>
    </xf>
    <xf numFmtId="6" fontId="0" fillId="0" borderId="0" xfId="61" applyNumberFormat="1" applyFont="1">
      <alignment vertical="top"/>
      <protection/>
    </xf>
    <xf numFmtId="6" fontId="1" fillId="0" borderId="0" xfId="61" applyNumberFormat="1">
      <alignment vertical="top"/>
      <protection/>
    </xf>
    <xf numFmtId="38" fontId="0" fillId="0" borderId="0" xfId="61" applyNumberFormat="1" applyFont="1">
      <alignment vertical="top"/>
      <protection/>
    </xf>
    <xf numFmtId="0" fontId="1" fillId="0" borderId="0" xfId="61">
      <alignment vertical="top"/>
      <protection/>
    </xf>
    <xf numFmtId="165" fontId="0" fillId="0" borderId="0" xfId="61" applyNumberFormat="1" applyFont="1" applyAlignment="1">
      <alignment horizontal="left"/>
      <protection/>
    </xf>
    <xf numFmtId="0" fontId="10" fillId="0" borderId="0" xfId="0" applyFont="1" applyAlignment="1">
      <alignment horizontal="center" vertical="top"/>
    </xf>
    <xf numFmtId="10" fontId="10" fillId="0" borderId="0" xfId="0" applyNumberFormat="1" applyFont="1" applyAlignment="1">
      <alignment horizontal="center"/>
    </xf>
    <xf numFmtId="10" fontId="10" fillId="0" borderId="0" xfId="0" applyNumberFormat="1" applyFont="1" applyAlignment="1">
      <alignment/>
    </xf>
    <xf numFmtId="6" fontId="4" fillId="0" borderId="0" xfId="0" applyNumberFormat="1" applyFont="1" applyAlignment="1">
      <alignment/>
    </xf>
    <xf numFmtId="6" fontId="13" fillId="0" borderId="0" xfId="0" applyNumberFormat="1" applyFont="1" applyAlignment="1">
      <alignment horizontal="center"/>
    </xf>
    <xf numFmtId="6" fontId="13" fillId="0" borderId="10" xfId="0" applyNumberFormat="1" applyFont="1" applyBorder="1" applyAlignment="1">
      <alignment horizontal="center"/>
    </xf>
    <xf numFmtId="6" fontId="13" fillId="0" borderId="10" xfId="0" applyNumberFormat="1" applyFont="1" applyBorder="1" applyAlignment="1">
      <alignment/>
    </xf>
    <xf numFmtId="6" fontId="0" fillId="0" borderId="0" xfId="61" applyNumberFormat="1" applyFont="1" applyAlignment="1">
      <alignment/>
      <protection/>
    </xf>
    <xf numFmtId="6" fontId="0" fillId="0" borderId="0" xfId="61" applyNumberFormat="1" applyFont="1" applyAlignment="1">
      <alignment wrapText="1"/>
      <protection/>
    </xf>
    <xf numFmtId="165" fontId="0" fillId="0" borderId="0" xfId="0" applyNumberFormat="1" applyFont="1" applyAlignment="1">
      <alignment horizontal="left"/>
    </xf>
    <xf numFmtId="8" fontId="0" fillId="0" borderId="0" xfId="0" applyNumberFormat="1" applyAlignment="1">
      <alignment/>
    </xf>
    <xf numFmtId="165" fontId="8" fillId="0" borderId="0" xfId="0" applyNumberFormat="1" applyFont="1" applyAlignment="1">
      <alignment horizontal="center"/>
    </xf>
    <xf numFmtId="6" fontId="8" fillId="0" borderId="11" xfId="0" applyNumberFormat="1" applyFont="1" applyBorder="1" applyAlignment="1">
      <alignment/>
    </xf>
    <xf numFmtId="6" fontId="8" fillId="0" borderId="0" xfId="0" applyNumberFormat="1" applyFont="1" applyAlignment="1">
      <alignment/>
    </xf>
    <xf numFmtId="38" fontId="8" fillId="0" borderId="11" xfId="0" applyNumberFormat="1" applyFont="1" applyBorder="1" applyAlignment="1">
      <alignment/>
    </xf>
    <xf numFmtId="0" fontId="0" fillId="0" borderId="0" xfId="57" applyAlignment="1">
      <alignment/>
      <protection/>
    </xf>
    <xf numFmtId="6" fontId="0" fillId="0" borderId="0" xfId="57" applyNumberFormat="1" applyAlignment="1">
      <alignment/>
      <protection/>
    </xf>
    <xf numFmtId="38" fontId="0" fillId="0" borderId="0" xfId="57" applyNumberFormat="1" applyAlignment="1">
      <alignment/>
      <protection/>
    </xf>
    <xf numFmtId="165" fontId="0" fillId="0" borderId="0" xfId="57" applyNumberFormat="1" applyAlignment="1">
      <alignment horizontal="center"/>
      <protection/>
    </xf>
    <xf numFmtId="165" fontId="0" fillId="0" borderId="0" xfId="57" applyNumberFormat="1" applyFont="1" applyAlignment="1">
      <alignment horizontal="left"/>
      <protection/>
    </xf>
    <xf numFmtId="165" fontId="0" fillId="0" borderId="0" xfId="57" applyNumberFormat="1" applyAlignment="1">
      <alignment horizontal="left"/>
      <protection/>
    </xf>
    <xf numFmtId="10" fontId="10" fillId="0" borderId="0" xfId="57" applyNumberFormat="1" applyFont="1" applyAlignment="1">
      <alignment horizontal="center"/>
      <protection/>
    </xf>
    <xf numFmtId="10" fontId="10" fillId="0" borderId="0" xfId="57" applyNumberFormat="1" applyFont="1" applyAlignment="1">
      <alignment/>
      <protection/>
    </xf>
    <xf numFmtId="0" fontId="10" fillId="0" borderId="0" xfId="57" applyFont="1" applyAlignment="1">
      <alignment horizontal="center" vertical="top"/>
      <protection/>
    </xf>
    <xf numFmtId="6" fontId="13" fillId="0" borderId="10" xfId="57" applyNumberFormat="1" applyFont="1" applyBorder="1" applyAlignment="1">
      <alignment horizontal="center"/>
      <protection/>
    </xf>
    <xf numFmtId="6" fontId="13" fillId="0" borderId="10" xfId="57" applyNumberFormat="1" applyFont="1" applyBorder="1" applyAlignment="1">
      <alignment/>
      <protection/>
    </xf>
    <xf numFmtId="6" fontId="4" fillId="0" borderId="0" xfId="57" applyNumberFormat="1" applyFont="1" applyAlignment="1">
      <alignment/>
      <protection/>
    </xf>
    <xf numFmtId="0" fontId="10" fillId="0" borderId="0" xfId="57" applyFont="1" applyAlignment="1">
      <alignment/>
      <protection/>
    </xf>
    <xf numFmtId="6" fontId="13" fillId="0" borderId="0" xfId="57" applyNumberFormat="1" applyFont="1" applyAlignment="1">
      <alignment horizontal="center"/>
      <protection/>
    </xf>
    <xf numFmtId="0" fontId="11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6" fontId="10" fillId="0" borderId="0" xfId="57" applyNumberFormat="1" applyFont="1" applyAlignment="1">
      <alignment/>
      <protection/>
    </xf>
    <xf numFmtId="38" fontId="10" fillId="0" borderId="0" xfId="57" applyNumberFormat="1" applyFont="1" applyAlignment="1">
      <alignment/>
      <protection/>
    </xf>
    <xf numFmtId="165" fontId="10" fillId="0" borderId="0" xfId="57" applyNumberFormat="1" applyFont="1" applyAlignment="1">
      <alignment horizontal="left"/>
      <protection/>
    </xf>
    <xf numFmtId="6" fontId="0" fillId="0" borderId="0" xfId="57" applyNumberFormat="1" applyFont="1" applyAlignment="1">
      <alignment/>
      <protection/>
    </xf>
    <xf numFmtId="38" fontId="0" fillId="0" borderId="0" xfId="57" applyNumberFormat="1" applyFont="1" applyAlignment="1">
      <alignment/>
      <protection/>
    </xf>
    <xf numFmtId="165" fontId="8" fillId="0" borderId="0" xfId="57" applyNumberFormat="1" applyFont="1" applyAlignment="1">
      <alignment horizontal="left"/>
      <protection/>
    </xf>
    <xf numFmtId="171" fontId="0" fillId="0" borderId="0" xfId="57" applyNumberFormat="1" applyAlignment="1">
      <alignment/>
      <protection/>
    </xf>
    <xf numFmtId="171" fontId="0" fillId="0" borderId="0" xfId="57" applyNumberFormat="1" applyBorder="1" applyAlignment="1">
      <alignment/>
      <protection/>
    </xf>
    <xf numFmtId="171" fontId="0" fillId="0" borderId="0" xfId="57" applyNumberFormat="1" applyAlignment="1">
      <alignment horizontal="center"/>
      <protection/>
    </xf>
    <xf numFmtId="6" fontId="0" fillId="0" borderId="0" xfId="57" applyNumberFormat="1" applyBorder="1" applyAlignment="1">
      <alignment/>
      <protection/>
    </xf>
    <xf numFmtId="6" fontId="8" fillId="0" borderId="11" xfId="57" applyNumberFormat="1" applyFont="1" applyBorder="1" applyAlignment="1">
      <alignment/>
      <protection/>
    </xf>
    <xf numFmtId="6" fontId="8" fillId="0" borderId="0" xfId="57" applyNumberFormat="1" applyFont="1" applyAlignment="1">
      <alignment/>
      <protection/>
    </xf>
    <xf numFmtId="165" fontId="8" fillId="0" borderId="0" xfId="57" applyNumberFormat="1" applyFont="1" applyAlignment="1">
      <alignment horizontal="center"/>
      <protection/>
    </xf>
    <xf numFmtId="8" fontId="0" fillId="0" borderId="0" xfId="57" applyNumberFormat="1" applyAlignment="1">
      <alignment/>
      <protection/>
    </xf>
    <xf numFmtId="0" fontId="9" fillId="0" borderId="0" xfId="57" applyFont="1" applyAlignment="1">
      <alignment horizontal="center"/>
      <protection/>
    </xf>
    <xf numFmtId="6" fontId="9" fillId="0" borderId="10" xfId="57" applyNumberFormat="1" applyFont="1" applyBorder="1" applyAlignment="1">
      <alignment horizontal="center"/>
      <protection/>
    </xf>
    <xf numFmtId="6" fontId="9" fillId="0" borderId="0" xfId="57" applyNumberFormat="1" applyFont="1" applyBorder="1" applyAlignment="1">
      <alignment horizontal="center"/>
      <protection/>
    </xf>
    <xf numFmtId="38" fontId="9" fillId="0" borderId="10" xfId="57" applyNumberFormat="1" applyFont="1" applyBorder="1" applyAlignment="1">
      <alignment horizontal="center"/>
      <protection/>
    </xf>
    <xf numFmtId="165" fontId="9" fillId="0" borderId="10" xfId="57" applyNumberFormat="1" applyFont="1" applyBorder="1" applyAlignment="1">
      <alignment horizontal="center"/>
      <protection/>
    </xf>
    <xf numFmtId="6" fontId="9" fillId="0" borderId="0" xfId="57" applyNumberFormat="1" applyFont="1" applyAlignment="1">
      <alignment horizontal="center"/>
      <protection/>
    </xf>
    <xf numFmtId="38" fontId="9" fillId="0" borderId="0" xfId="57" applyNumberFormat="1" applyFont="1" applyAlignment="1">
      <alignment horizontal="center"/>
      <protection/>
    </xf>
    <xf numFmtId="165" fontId="9" fillId="0" borderId="0" xfId="57" applyNumberFormat="1" applyFont="1" applyAlignment="1">
      <alignment horizontal="center"/>
      <protection/>
    </xf>
    <xf numFmtId="0" fontId="0" fillId="0" borderId="0" xfId="57" applyAlignment="1">
      <alignment horizontal="center"/>
      <protection/>
    </xf>
    <xf numFmtId="6" fontId="0" fillId="0" borderId="0" xfId="57" applyNumberFormat="1" applyAlignment="1">
      <alignment horizontal="center"/>
      <protection/>
    </xf>
    <xf numFmtId="38" fontId="0" fillId="0" borderId="0" xfId="57" applyNumberFormat="1" applyAlignment="1">
      <alignment horizontal="center"/>
      <protection/>
    </xf>
    <xf numFmtId="6" fontId="0" fillId="0" borderId="0" xfId="57" applyNumberFormat="1" applyAlignment="1">
      <alignment horizontal="left"/>
      <protection/>
    </xf>
    <xf numFmtId="0" fontId="0" fillId="0" borderId="0" xfId="57" applyFont="1" applyAlignment="1">
      <alignment horizontal="center"/>
      <protection/>
    </xf>
    <xf numFmtId="6" fontId="7" fillId="0" borderId="0" xfId="57" applyNumberFormat="1" applyFont="1" applyAlignment="1">
      <alignment horizontal="center"/>
      <protection/>
    </xf>
    <xf numFmtId="37" fontId="8" fillId="0" borderId="11" xfId="42" applyNumberFormat="1" applyFont="1" applyBorder="1" applyAlignment="1">
      <alignment/>
    </xf>
    <xf numFmtId="6" fontId="1" fillId="0" borderId="0" xfId="61" applyNumberFormat="1" applyFont="1">
      <alignment vertical="top"/>
      <protection/>
    </xf>
    <xf numFmtId="0" fontId="0" fillId="0" borderId="0" xfId="0" applyFont="1" applyAlignment="1">
      <alignment vertical="center"/>
    </xf>
    <xf numFmtId="165" fontId="0" fillId="0" borderId="0" xfId="57" applyNumberFormat="1" applyFont="1" applyAlignment="1">
      <alignment horizontal="left" vertical="center"/>
      <protection/>
    </xf>
    <xf numFmtId="38" fontId="8" fillId="0" borderId="11" xfId="57" applyNumberFormat="1" applyFont="1" applyBorder="1" applyAlignment="1">
      <alignment/>
      <protection/>
    </xf>
    <xf numFmtId="6" fontId="9" fillId="0" borderId="10" xfId="57" applyNumberFormat="1" applyFont="1" applyBorder="1" applyAlignment="1">
      <alignment horizontal="center"/>
      <protection/>
    </xf>
    <xf numFmtId="165" fontId="8" fillId="33" borderId="12" xfId="57" applyNumberFormat="1" applyFont="1" applyFill="1" applyBorder="1" applyAlignment="1">
      <alignment horizontal="center"/>
      <protection/>
    </xf>
    <xf numFmtId="165" fontId="8" fillId="33" borderId="13" xfId="57" applyNumberFormat="1" applyFont="1" applyFill="1" applyBorder="1" applyAlignment="1">
      <alignment horizontal="center"/>
      <protection/>
    </xf>
    <xf numFmtId="6" fontId="13" fillId="0" borderId="10" xfId="57" applyNumberFormat="1" applyFont="1" applyBorder="1" applyAlignment="1">
      <alignment horizontal="center"/>
      <protection/>
    </xf>
    <xf numFmtId="6" fontId="5" fillId="0" borderId="0" xfId="57" applyNumberFormat="1" applyFont="1" applyAlignment="1">
      <alignment horizontal="center"/>
      <protection/>
    </xf>
    <xf numFmtId="6" fontId="6" fillId="0" borderId="0" xfId="57" applyNumberFormat="1" applyFont="1" applyAlignment="1">
      <alignment horizontal="center"/>
      <protection/>
    </xf>
    <xf numFmtId="6" fontId="12" fillId="0" borderId="0" xfId="53" applyNumberFormat="1" applyFont="1" applyAlignment="1" applyProtection="1">
      <alignment horizontal="center"/>
      <protection/>
    </xf>
    <xf numFmtId="0" fontId="7" fillId="0" borderId="0" xfId="57" applyFont="1" applyAlignment="1">
      <alignment horizontal="center" vertical="center"/>
      <protection/>
    </xf>
    <xf numFmtId="165" fontId="8" fillId="33" borderId="14" xfId="57" applyNumberFormat="1" applyFont="1" applyFill="1" applyBorder="1" applyAlignment="1">
      <alignment horizontal="center"/>
      <protection/>
    </xf>
    <xf numFmtId="6" fontId="9" fillId="0" borderId="10" xfId="0" applyNumberFormat="1" applyFont="1" applyBorder="1" applyAlignment="1">
      <alignment horizontal="center"/>
    </xf>
    <xf numFmtId="165" fontId="8" fillId="33" borderId="12" xfId="0" applyNumberFormat="1" applyFont="1" applyFill="1" applyBorder="1" applyAlignment="1">
      <alignment horizontal="center"/>
    </xf>
    <xf numFmtId="165" fontId="8" fillId="33" borderId="13" xfId="0" applyNumberFormat="1" applyFont="1" applyFill="1" applyBorder="1" applyAlignment="1">
      <alignment horizontal="center"/>
    </xf>
    <xf numFmtId="165" fontId="8" fillId="33" borderId="14" xfId="0" applyNumberFormat="1" applyFont="1" applyFill="1" applyBorder="1" applyAlignment="1">
      <alignment horizontal="center"/>
    </xf>
    <xf numFmtId="6" fontId="13" fillId="0" borderId="10" xfId="0" applyNumberFormat="1" applyFont="1" applyBorder="1" applyAlignment="1">
      <alignment horizontal="center"/>
    </xf>
    <xf numFmtId="6" fontId="5" fillId="0" borderId="0" xfId="0" applyNumberFormat="1" applyFont="1" applyAlignment="1">
      <alignment horizontal="center"/>
    </xf>
    <xf numFmtId="6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228600</xdr:rowOff>
    </xdr:from>
    <xdr:to>
      <xdr:col>2</xdr:col>
      <xdr:colOff>9525</xdr:colOff>
      <xdr:row>6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28600"/>
          <a:ext cx="1314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228600</xdr:rowOff>
    </xdr:from>
    <xdr:to>
      <xdr:col>2</xdr:col>
      <xdr:colOff>19050</xdr:colOff>
      <xdr:row>6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28600"/>
          <a:ext cx="1323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228600</xdr:rowOff>
    </xdr:from>
    <xdr:to>
      <xdr:col>2</xdr:col>
      <xdr:colOff>19050</xdr:colOff>
      <xdr:row>6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28600"/>
          <a:ext cx="1323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0</xdr:rowOff>
    </xdr:from>
    <xdr:to>
      <xdr:col>2</xdr:col>
      <xdr:colOff>190500</xdr:colOff>
      <xdr:row>5</xdr:row>
      <xdr:rowOff>38100</xdr:rowOff>
    </xdr:to>
    <xdr:pic>
      <xdr:nvPicPr>
        <xdr:cNvPr id="1" name="Picture 1" descr="RWNY_LOGO_4C_HORI (4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13620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0</xdr:rowOff>
    </xdr:from>
    <xdr:to>
      <xdr:col>2</xdr:col>
      <xdr:colOff>190500</xdr:colOff>
      <xdr:row>5</xdr:row>
      <xdr:rowOff>38100</xdr:rowOff>
    </xdr:to>
    <xdr:pic>
      <xdr:nvPicPr>
        <xdr:cNvPr id="1" name="Picture 1" descr="RWNY_LOGO_4C_HORI (4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13620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0</xdr:rowOff>
    </xdr:from>
    <xdr:to>
      <xdr:col>2</xdr:col>
      <xdr:colOff>190500</xdr:colOff>
      <xdr:row>5</xdr:row>
      <xdr:rowOff>38100</xdr:rowOff>
    </xdr:to>
    <xdr:pic>
      <xdr:nvPicPr>
        <xdr:cNvPr id="1" name="Picture 1" descr="RWNY_LOGO_4C_HORI (4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12763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228600</xdr:rowOff>
    </xdr:from>
    <xdr:to>
      <xdr:col>2</xdr:col>
      <xdr:colOff>9525</xdr:colOff>
      <xdr:row>6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28600"/>
          <a:ext cx="1314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228600</xdr:rowOff>
    </xdr:from>
    <xdr:to>
      <xdr:col>2</xdr:col>
      <xdr:colOff>9525</xdr:colOff>
      <xdr:row>6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28600"/>
          <a:ext cx="1314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228600</xdr:rowOff>
    </xdr:from>
    <xdr:to>
      <xdr:col>2</xdr:col>
      <xdr:colOff>9525</xdr:colOff>
      <xdr:row>6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28600"/>
          <a:ext cx="1314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228600</xdr:rowOff>
    </xdr:from>
    <xdr:to>
      <xdr:col>2</xdr:col>
      <xdr:colOff>9525</xdr:colOff>
      <xdr:row>6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28600"/>
          <a:ext cx="1314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228600</xdr:rowOff>
    </xdr:from>
    <xdr:to>
      <xdr:col>2</xdr:col>
      <xdr:colOff>9525</xdr:colOff>
      <xdr:row>6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28600"/>
          <a:ext cx="1314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228600</xdr:rowOff>
    </xdr:from>
    <xdr:to>
      <xdr:col>2</xdr:col>
      <xdr:colOff>19050</xdr:colOff>
      <xdr:row>6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28600"/>
          <a:ext cx="1323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228600</xdr:rowOff>
    </xdr:from>
    <xdr:to>
      <xdr:col>2</xdr:col>
      <xdr:colOff>19050</xdr:colOff>
      <xdr:row>6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28600"/>
          <a:ext cx="1323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228600</xdr:rowOff>
    </xdr:from>
    <xdr:to>
      <xdr:col>2</xdr:col>
      <xdr:colOff>19050</xdr:colOff>
      <xdr:row>6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28600"/>
          <a:ext cx="1323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wnewyork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rwnewyork.com/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rwnewyork.com/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rwnewyork.com/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rwnewyork.com/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rwnewyork.com/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wnewyork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rwnewyork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rwnewyork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rwnewyork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rwnewyork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rwnewyork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rwnewyork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rwnewyork.com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zoomScalePageLayoutView="0" workbookViewId="0" topLeftCell="A1">
      <selection activeCell="K18" sqref="K18"/>
    </sheetView>
  </sheetViews>
  <sheetFormatPr defaultColWidth="9.140625" defaultRowHeight="12.75"/>
  <cols>
    <col min="1" max="1" width="9.28125" style="57" customWidth="1"/>
    <col min="2" max="2" width="15.421875" style="55" bestFit="1" customWidth="1"/>
    <col min="3" max="3" width="13.140625" style="55" customWidth="1"/>
    <col min="4" max="4" width="15.421875" style="55" bestFit="1" customWidth="1"/>
    <col min="5" max="5" width="12.7109375" style="55" customWidth="1"/>
    <col min="6" max="6" width="10.28125" style="56" customWidth="1"/>
    <col min="7" max="7" width="10.28125" style="55" customWidth="1"/>
    <col min="8" max="8" width="2.28125" style="55" customWidth="1"/>
    <col min="9" max="9" width="14.00390625" style="55" customWidth="1"/>
    <col min="10" max="11" width="14.140625" style="55" customWidth="1"/>
    <col min="12" max="16384" width="9.140625" style="54" customWidth="1"/>
  </cols>
  <sheetData>
    <row r="1" spans="1:11" ht="18">
      <c r="A1" s="107" t="s">
        <v>45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15">
      <c r="A2" s="108" t="s">
        <v>36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s="92" customFormat="1" ht="15">
      <c r="A3" s="108" t="s">
        <v>37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 s="92" customFormat="1" ht="15">
      <c r="A4" s="109" t="s">
        <v>38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spans="1:11" s="92" customFormat="1" ht="14.25">
      <c r="A5" s="110" t="s">
        <v>39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</row>
    <row r="6" spans="1:11" s="92" customFormat="1" ht="14.2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</row>
    <row r="7" spans="1:11" s="92" customFormat="1" ht="12.75">
      <c r="A7" s="57"/>
      <c r="B7" s="95"/>
      <c r="C7" s="95"/>
      <c r="D7" s="95"/>
      <c r="E7" s="93"/>
      <c r="F7" s="94"/>
      <c r="G7" s="93"/>
      <c r="H7" s="93"/>
      <c r="I7" s="93"/>
      <c r="J7" s="93"/>
      <c r="K7" s="93"/>
    </row>
    <row r="8" spans="1:11" s="96" customFormat="1" ht="14.25" customHeight="1">
      <c r="A8" s="104" t="s">
        <v>91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</row>
    <row r="9" spans="1:11" s="92" customFormat="1" ht="9" customHeight="1">
      <c r="A9" s="57"/>
      <c r="B9" s="95"/>
      <c r="C9" s="95"/>
      <c r="D9" s="95"/>
      <c r="E9" s="93"/>
      <c r="F9" s="94"/>
      <c r="G9" s="93"/>
      <c r="H9" s="93"/>
      <c r="I9" s="93"/>
      <c r="J9" s="93"/>
      <c r="K9" s="93"/>
    </row>
    <row r="10" spans="1:11" s="92" customFormat="1" ht="12.75">
      <c r="A10" s="57"/>
      <c r="B10" s="93"/>
      <c r="C10" s="93"/>
      <c r="D10" s="93"/>
      <c r="E10" s="93"/>
      <c r="F10" s="94"/>
      <c r="G10" s="93"/>
      <c r="H10" s="93"/>
      <c r="I10" s="103" t="s">
        <v>0</v>
      </c>
      <c r="J10" s="103"/>
      <c r="K10" s="103"/>
    </row>
    <row r="11" spans="1:11" s="92" customFormat="1" ht="7.5" customHeight="1">
      <c r="A11" s="57"/>
      <c r="B11" s="93"/>
      <c r="C11" s="93"/>
      <c r="D11" s="93"/>
      <c r="E11" s="93"/>
      <c r="F11" s="94"/>
      <c r="G11" s="93"/>
      <c r="H11" s="93"/>
      <c r="I11" s="93"/>
      <c r="J11" s="93"/>
      <c r="K11" s="93"/>
    </row>
    <row r="12" spans="1:11" s="84" customFormat="1" ht="12">
      <c r="A12" s="91"/>
      <c r="B12" s="89" t="s">
        <v>1</v>
      </c>
      <c r="C12" s="89" t="s">
        <v>29</v>
      </c>
      <c r="D12" s="89" t="s">
        <v>1</v>
      </c>
      <c r="E12" s="89"/>
      <c r="F12" s="90" t="s">
        <v>2</v>
      </c>
      <c r="G12" s="89" t="s">
        <v>3</v>
      </c>
      <c r="H12" s="89"/>
      <c r="I12" s="89" t="s">
        <v>4</v>
      </c>
      <c r="J12" s="89" t="s">
        <v>41</v>
      </c>
      <c r="K12" s="89" t="s">
        <v>40</v>
      </c>
    </row>
    <row r="13" spans="1:11" s="84" customFormat="1" ht="12">
      <c r="A13" s="88" t="s">
        <v>6</v>
      </c>
      <c r="B13" s="85" t="s">
        <v>7</v>
      </c>
      <c r="C13" s="85" t="s">
        <v>14</v>
      </c>
      <c r="D13" s="85" t="s">
        <v>8</v>
      </c>
      <c r="E13" s="85" t="s">
        <v>9</v>
      </c>
      <c r="F13" s="87" t="s">
        <v>10</v>
      </c>
      <c r="G13" s="85" t="s">
        <v>11</v>
      </c>
      <c r="H13" s="86"/>
      <c r="I13" s="85" t="s">
        <v>12</v>
      </c>
      <c r="J13" s="85" t="s">
        <v>42</v>
      </c>
      <c r="K13" s="85" t="s">
        <v>13</v>
      </c>
    </row>
    <row r="15" spans="1:11" ht="12.75">
      <c r="A15" s="57">
        <v>45383</v>
      </c>
      <c r="B15" s="55">
        <v>768279768.9099998</v>
      </c>
      <c r="C15" s="55">
        <v>2423648.3599999994</v>
      </c>
      <c r="D15" s="55">
        <f aca="true" t="shared" si="0" ref="D15:D26">IF(ISBLANK(B15),"",B15-C15-E15)</f>
        <v>707539705.3699998</v>
      </c>
      <c r="E15" s="55">
        <v>58316415.180000015</v>
      </c>
      <c r="F15" s="56">
        <v>4807</v>
      </c>
      <c r="G15" s="55">
        <f>_xlfn.IFERROR((E15/F15/30)," ")</f>
        <v>404.38537674225097</v>
      </c>
      <c r="I15" s="55">
        <v>23326566.1</v>
      </c>
      <c r="J15" s="55">
        <v>5831641.5200000005</v>
      </c>
      <c r="K15" s="55">
        <v>29158207.58</v>
      </c>
    </row>
    <row r="16" spans="1:11" ht="12.75">
      <c r="A16" s="57">
        <v>45413</v>
      </c>
      <c r="B16" s="55">
        <v>798409871.4599998</v>
      </c>
      <c r="C16" s="55">
        <v>2384481.07</v>
      </c>
      <c r="D16" s="55">
        <f t="shared" si="0"/>
        <v>734666634.8999997</v>
      </c>
      <c r="E16" s="55">
        <v>61358755.49000001</v>
      </c>
      <c r="F16" s="56">
        <v>4851</v>
      </c>
      <c r="G16" s="55">
        <f>_xlfn.IFERROR((E16/F16/31)," ")</f>
        <v>408.0219940683997</v>
      </c>
      <c r="I16" s="55">
        <v>24543502.21</v>
      </c>
      <c r="J16" s="55">
        <v>6135875.56</v>
      </c>
      <c r="K16" s="55">
        <v>30679377.740000002</v>
      </c>
    </row>
    <row r="17" spans="1:11" ht="12.75">
      <c r="A17" s="57">
        <v>45444</v>
      </c>
      <c r="B17" s="55">
        <v>756790202.1399996</v>
      </c>
      <c r="C17" s="55">
        <v>2371950.6500000004</v>
      </c>
      <c r="D17" s="55">
        <f t="shared" si="0"/>
        <v>696751099.6399996</v>
      </c>
      <c r="E17" s="55">
        <v>57667151.849999994</v>
      </c>
      <c r="F17" s="56">
        <v>4853</v>
      </c>
      <c r="G17" s="55">
        <f aca="true" t="shared" si="1" ref="G17:G22">_xlfn.IFERROR((E17/F17/30)," ")</f>
        <v>396.09280754172676</v>
      </c>
      <c r="I17" s="55">
        <v>23066860.740000002</v>
      </c>
      <c r="J17" s="55">
        <v>5766715.2</v>
      </c>
      <c r="K17" s="55">
        <v>28833575.91</v>
      </c>
    </row>
    <row r="18" spans="1:11" ht="12.75">
      <c r="A18" s="57">
        <v>45474</v>
      </c>
      <c r="B18" s="55">
        <v>754564866.8800001</v>
      </c>
      <c r="C18" s="55">
        <v>2372218.27</v>
      </c>
      <c r="D18" s="55">
        <f t="shared" si="0"/>
        <v>694025967.4500002</v>
      </c>
      <c r="E18" s="55">
        <v>58166681.16000001</v>
      </c>
      <c r="F18" s="56">
        <v>4765</v>
      </c>
      <c r="G18" s="55">
        <f>_xlfn.IFERROR((E18/F18/31)," ")</f>
        <v>393.7764015841317</v>
      </c>
      <c r="I18" s="55">
        <v>23266672.45000001</v>
      </c>
      <c r="J18" s="55">
        <v>5816668.14</v>
      </c>
      <c r="K18" s="55">
        <v>29083340.569999997</v>
      </c>
    </row>
    <row r="19" spans="1:7" ht="12.75">
      <c r="A19" s="57">
        <v>45505</v>
      </c>
      <c r="D19" s="55">
        <f t="shared" si="0"/>
      </c>
      <c r="G19" s="55" t="str">
        <f>_xlfn.IFERROR((E19/F19/31)," ")</f>
        <v> </v>
      </c>
    </row>
    <row r="20" spans="1:7" ht="12.75">
      <c r="A20" s="57">
        <v>45536</v>
      </c>
      <c r="D20" s="55">
        <f t="shared" si="0"/>
      </c>
      <c r="G20" s="55" t="str">
        <f t="shared" si="1"/>
        <v> </v>
      </c>
    </row>
    <row r="21" spans="1:12" ht="12.75">
      <c r="A21" s="57">
        <v>45566</v>
      </c>
      <c r="D21" s="55">
        <f t="shared" si="0"/>
      </c>
      <c r="G21" s="55" t="str">
        <f>_xlfn.IFERROR((E21/F21/31)," ")</f>
        <v> </v>
      </c>
      <c r="L21" s="83"/>
    </row>
    <row r="22" spans="1:7" ht="12.75">
      <c r="A22" s="57">
        <v>45597</v>
      </c>
      <c r="D22" s="55">
        <f t="shared" si="0"/>
      </c>
      <c r="G22" s="55" t="str">
        <f t="shared" si="1"/>
        <v> </v>
      </c>
    </row>
    <row r="23" spans="1:7" ht="12.75">
      <c r="A23" s="57">
        <v>45627</v>
      </c>
      <c r="D23" s="55">
        <f t="shared" si="0"/>
      </c>
      <c r="G23" s="55" t="str">
        <f>_xlfn.IFERROR((E23/F23/31)," ")</f>
        <v> </v>
      </c>
    </row>
    <row r="24" spans="1:7" ht="12.75">
      <c r="A24" s="57">
        <v>45658</v>
      </c>
      <c r="D24" s="55">
        <f t="shared" si="0"/>
      </c>
      <c r="G24" s="55" t="str">
        <f>_xlfn.IFERROR((E24/F24/31)," ")</f>
        <v> </v>
      </c>
    </row>
    <row r="25" spans="1:7" ht="12.75">
      <c r="A25" s="57">
        <v>45689</v>
      </c>
      <c r="D25" s="55">
        <f t="shared" si="0"/>
      </c>
      <c r="G25" s="55" t="str">
        <f>_xlfn.IFERROR((E25/F25/29)," ")</f>
        <v> </v>
      </c>
    </row>
    <row r="26" spans="1:7" ht="12.75">
      <c r="A26" s="57">
        <v>45717</v>
      </c>
      <c r="D26" s="55">
        <f t="shared" si="0"/>
      </c>
      <c r="G26" s="55" t="str">
        <f>_xlfn.IFERROR((E26/F26/31)," ")</f>
        <v> </v>
      </c>
    </row>
    <row r="27" spans="1:11" ht="13.5" thickBot="1">
      <c r="A27" s="82" t="s">
        <v>15</v>
      </c>
      <c r="B27" s="80">
        <f>SUM(B15:B26)</f>
        <v>3078044709.3899994</v>
      </c>
      <c r="C27" s="80">
        <f>SUM(C15:C26)</f>
        <v>9552298.35</v>
      </c>
      <c r="D27" s="80">
        <f>SUM(D15:D26)</f>
        <v>2832983407.359999</v>
      </c>
      <c r="E27" s="80">
        <f>SUM(E15:E26)</f>
        <v>235509003.68</v>
      </c>
      <c r="F27" s="53">
        <f>AVERAGE(F15:F26)</f>
        <v>4819</v>
      </c>
      <c r="G27" s="51">
        <f>AVERAGE(G15:G26)</f>
        <v>400.5691449841273</v>
      </c>
      <c r="H27" s="81"/>
      <c r="I27" s="80">
        <f>SUM(I15:I26)</f>
        <v>94203601.50000003</v>
      </c>
      <c r="J27" s="80">
        <f>SUM(J15:J26)</f>
        <v>23550900.42</v>
      </c>
      <c r="K27" s="80">
        <f>SUM(K15:K26)</f>
        <v>117754501.8</v>
      </c>
    </row>
    <row r="28" spans="2:11" ht="10.5" customHeight="1" thickTop="1">
      <c r="B28" s="79"/>
      <c r="C28" s="79"/>
      <c r="D28" s="79"/>
      <c r="E28" s="79"/>
      <c r="I28" s="79"/>
      <c r="J28" s="79"/>
      <c r="K28" s="79"/>
    </row>
    <row r="29" spans="1:11" s="76" customFormat="1" ht="12.75">
      <c r="A29" s="78"/>
      <c r="B29" s="77"/>
      <c r="C29" s="77">
        <f>_xlfn.IFERROR(C27/B27,"")</f>
        <v>0.003103365692141962</v>
      </c>
      <c r="D29" s="77">
        <f>_xlfn.IFERROR(D27/B27,"")</f>
        <v>0.9203840992684716</v>
      </c>
      <c r="E29" s="77">
        <f>_xlfn.IFERROR(E27/B27,"")</f>
        <v>0.07651253503938632</v>
      </c>
      <c r="I29" s="77">
        <f>_xlfn.IFERROR(I27/$E$27,"")</f>
        <v>0.40000000011889153</v>
      </c>
      <c r="J29" s="77">
        <f>_xlfn.IFERROR(J27/$E$27,"")</f>
        <v>0.10000000022079836</v>
      </c>
      <c r="K29" s="77">
        <f>_xlfn.IFERROR(K27/$E$27,"")</f>
        <v>0.4999999998301551</v>
      </c>
    </row>
    <row r="31" spans="1:11" s="69" customFormat="1" ht="12.75">
      <c r="A31" s="104" t="s">
        <v>16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</row>
    <row r="32" ht="12.75">
      <c r="A32" s="59"/>
    </row>
    <row r="33" spans="1:11" s="37" customFormat="1" ht="12.75" customHeight="1">
      <c r="A33" s="33" t="s">
        <v>17</v>
      </c>
      <c r="B33" s="34"/>
      <c r="C33" s="46" t="s">
        <v>58</v>
      </c>
      <c r="D33" s="47"/>
      <c r="E33" s="47"/>
      <c r="F33" s="47"/>
      <c r="G33" s="47"/>
      <c r="H33" s="47"/>
      <c r="I33" s="47"/>
      <c r="J33" s="47"/>
      <c r="K33" s="47"/>
    </row>
    <row r="34" spans="1:11" s="37" customFormat="1" ht="12.75" customHeight="1">
      <c r="A34" s="33"/>
      <c r="B34" s="34"/>
      <c r="C34" s="46" t="s">
        <v>59</v>
      </c>
      <c r="D34" s="47"/>
      <c r="E34" s="47"/>
      <c r="F34" s="47"/>
      <c r="G34" s="47"/>
      <c r="H34" s="47"/>
      <c r="I34" s="47"/>
      <c r="J34" s="47"/>
      <c r="K34" s="47"/>
    </row>
    <row r="35" spans="1:11" ht="6" customHeight="1">
      <c r="A35" s="75"/>
      <c r="B35" s="73"/>
      <c r="C35" s="73"/>
      <c r="F35" s="73"/>
      <c r="G35" s="73"/>
      <c r="H35" s="73"/>
      <c r="I35" s="73"/>
      <c r="J35" s="73"/>
      <c r="K35" s="73"/>
    </row>
    <row r="36" spans="1:11" ht="12.75">
      <c r="A36" s="75" t="s">
        <v>60</v>
      </c>
      <c r="B36" s="73"/>
      <c r="C36" s="73" t="s">
        <v>47</v>
      </c>
      <c r="F36" s="73"/>
      <c r="G36" s="73"/>
      <c r="H36" s="73"/>
      <c r="I36" s="73"/>
      <c r="J36" s="73"/>
      <c r="K36" s="73"/>
    </row>
    <row r="37" spans="1:11" ht="6" customHeight="1">
      <c r="A37" s="75"/>
      <c r="B37" s="73"/>
      <c r="C37" s="73"/>
      <c r="F37" s="73"/>
      <c r="G37" s="73"/>
      <c r="H37" s="73"/>
      <c r="I37" s="73"/>
      <c r="J37" s="73"/>
      <c r="K37" s="73"/>
    </row>
    <row r="38" spans="1:11" ht="12.75">
      <c r="A38" s="75" t="s">
        <v>18</v>
      </c>
      <c r="B38" s="73"/>
      <c r="C38" s="46" t="s">
        <v>63</v>
      </c>
      <c r="F38" s="73"/>
      <c r="G38" s="73"/>
      <c r="H38" s="73"/>
      <c r="I38" s="73"/>
      <c r="J38" s="73"/>
      <c r="K38" s="73"/>
    </row>
    <row r="39" spans="1:11" ht="6" customHeight="1">
      <c r="A39" s="75"/>
      <c r="B39" s="73"/>
      <c r="C39" s="73"/>
      <c r="F39" s="73"/>
      <c r="G39" s="73"/>
      <c r="H39" s="73"/>
      <c r="I39" s="73"/>
      <c r="J39" s="73"/>
      <c r="K39" s="73"/>
    </row>
    <row r="40" spans="1:11" ht="12.75">
      <c r="A40" s="75" t="s">
        <v>20</v>
      </c>
      <c r="B40" s="73"/>
      <c r="C40" s="73" t="s">
        <v>21</v>
      </c>
      <c r="F40" s="74"/>
      <c r="G40" s="73"/>
      <c r="H40" s="73"/>
      <c r="I40" s="73"/>
      <c r="J40" s="73"/>
      <c r="K40" s="73"/>
    </row>
    <row r="41" spans="1:11" ht="12.75">
      <c r="A41" s="75"/>
      <c r="B41" s="73"/>
      <c r="C41" s="73" t="s">
        <v>22</v>
      </c>
      <c r="F41" s="74"/>
      <c r="G41" s="73"/>
      <c r="H41" s="73"/>
      <c r="I41" s="73"/>
      <c r="J41" s="73"/>
      <c r="K41" s="73"/>
    </row>
    <row r="42" spans="1:11" ht="6" customHeight="1">
      <c r="A42" s="75"/>
      <c r="B42" s="73"/>
      <c r="C42" s="73"/>
      <c r="F42" s="74"/>
      <c r="G42" s="73"/>
      <c r="H42" s="73"/>
      <c r="I42" s="73"/>
      <c r="J42" s="73"/>
      <c r="K42" s="73"/>
    </row>
    <row r="43" spans="1:11" ht="12.75">
      <c r="A43" s="75" t="s">
        <v>23</v>
      </c>
      <c r="B43" s="73"/>
      <c r="C43" s="73" t="s">
        <v>24</v>
      </c>
      <c r="F43" s="74"/>
      <c r="G43" s="73"/>
      <c r="H43" s="73"/>
      <c r="I43" s="73"/>
      <c r="J43" s="73"/>
      <c r="K43" s="73"/>
    </row>
    <row r="44" spans="1:11" ht="6" customHeight="1">
      <c r="A44" s="75"/>
      <c r="B44" s="73"/>
      <c r="C44" s="73"/>
      <c r="D44" s="73"/>
      <c r="F44" s="74"/>
      <c r="G44" s="73"/>
      <c r="H44" s="73"/>
      <c r="I44" s="73"/>
      <c r="J44" s="73"/>
      <c r="K44" s="73"/>
    </row>
    <row r="45" spans="1:11" s="37" customFormat="1" ht="12.75">
      <c r="A45" s="33" t="s">
        <v>30</v>
      </c>
      <c r="B45" s="34"/>
      <c r="C45" s="34" t="s">
        <v>31</v>
      </c>
      <c r="D45" s="35"/>
      <c r="E45" s="36"/>
      <c r="F45" s="34"/>
      <c r="G45" s="34"/>
      <c r="H45" s="34"/>
      <c r="I45" s="34"/>
      <c r="J45" s="34"/>
      <c r="K45" s="34"/>
    </row>
    <row r="46" spans="1:11" s="37" customFormat="1" ht="12.75">
      <c r="A46" s="33"/>
      <c r="B46" s="34"/>
      <c r="C46" s="34" t="s">
        <v>43</v>
      </c>
      <c r="D46" s="35"/>
      <c r="E46" s="36"/>
      <c r="F46" s="34"/>
      <c r="G46" s="34"/>
      <c r="H46" s="34"/>
      <c r="I46" s="34"/>
      <c r="J46" s="34"/>
      <c r="K46" s="34"/>
    </row>
    <row r="47" spans="1:11" s="37" customFormat="1" ht="12.75">
      <c r="A47" s="33"/>
      <c r="B47" s="34"/>
      <c r="C47" s="34" t="s">
        <v>44</v>
      </c>
      <c r="D47" s="35"/>
      <c r="E47" s="36"/>
      <c r="F47" s="34"/>
      <c r="G47" s="34"/>
      <c r="H47" s="34"/>
      <c r="I47" s="34"/>
      <c r="J47" s="34"/>
      <c r="K47" s="34"/>
    </row>
    <row r="48" spans="1:11" s="37" customFormat="1" ht="3.75" customHeight="1">
      <c r="A48" s="33"/>
      <c r="B48" s="34"/>
      <c r="C48" s="34"/>
      <c r="D48" s="35"/>
      <c r="E48" s="36"/>
      <c r="F48" s="34"/>
      <c r="G48" s="34"/>
      <c r="H48" s="34"/>
      <c r="I48" s="34"/>
      <c r="J48" s="34"/>
      <c r="K48" s="34"/>
    </row>
    <row r="49" spans="1:11" s="37" customFormat="1" ht="12.75" customHeight="1">
      <c r="A49" s="33"/>
      <c r="B49" s="34"/>
      <c r="C49" s="100" t="s">
        <v>85</v>
      </c>
      <c r="D49" s="99"/>
      <c r="E49" s="36"/>
      <c r="F49" s="34"/>
      <c r="G49" s="34"/>
      <c r="H49" s="34"/>
      <c r="I49" s="34"/>
      <c r="J49" s="34"/>
      <c r="K49" s="34"/>
    </row>
    <row r="50" spans="1:11" s="37" customFormat="1" ht="12.75">
      <c r="A50" s="33"/>
      <c r="B50" s="34"/>
      <c r="C50" s="34" t="s">
        <v>84</v>
      </c>
      <c r="D50" s="99"/>
      <c r="E50" s="36"/>
      <c r="F50" s="34"/>
      <c r="G50" s="34"/>
      <c r="H50" s="34"/>
      <c r="I50" s="34"/>
      <c r="J50" s="34"/>
      <c r="K50" s="34"/>
    </row>
    <row r="51" spans="1:11" s="37" customFormat="1" ht="12.75">
      <c r="A51" s="33"/>
      <c r="B51" s="34"/>
      <c r="C51" s="34" t="s">
        <v>86</v>
      </c>
      <c r="D51" s="99"/>
      <c r="E51" s="36"/>
      <c r="F51" s="34"/>
      <c r="G51" s="34"/>
      <c r="H51" s="34"/>
      <c r="I51" s="34"/>
      <c r="J51" s="34"/>
      <c r="K51" s="34"/>
    </row>
    <row r="52" spans="1:11" ht="6" customHeight="1">
      <c r="A52" s="75"/>
      <c r="B52" s="73"/>
      <c r="C52" s="73"/>
      <c r="D52" s="73"/>
      <c r="F52" s="74"/>
      <c r="G52" s="73"/>
      <c r="H52" s="73"/>
      <c r="I52" s="73"/>
      <c r="J52" s="73"/>
      <c r="K52" s="73"/>
    </row>
    <row r="53" spans="1:11" s="37" customFormat="1" ht="12.75">
      <c r="A53" s="33" t="s">
        <v>46</v>
      </c>
      <c r="B53" s="34"/>
      <c r="C53" s="34" t="s">
        <v>34</v>
      </c>
      <c r="D53" s="35"/>
      <c r="E53" s="36"/>
      <c r="F53" s="34"/>
      <c r="G53" s="34"/>
      <c r="H53" s="34"/>
      <c r="I53" s="34"/>
      <c r="J53" s="34"/>
      <c r="K53" s="34"/>
    </row>
    <row r="54" spans="1:11" s="37" customFormat="1" ht="12.75">
      <c r="A54" s="38"/>
      <c r="B54" s="34"/>
      <c r="C54" s="34" t="s">
        <v>35</v>
      </c>
      <c r="D54" s="35"/>
      <c r="E54" s="36"/>
      <c r="F54" s="34"/>
      <c r="G54" s="34"/>
      <c r="H54" s="34"/>
      <c r="I54" s="34"/>
      <c r="J54" s="34"/>
      <c r="K54" s="34"/>
    </row>
    <row r="55" spans="1:11" ht="12.75">
      <c r="A55" s="72"/>
      <c r="B55" s="70"/>
      <c r="C55" s="70"/>
      <c r="D55" s="70"/>
      <c r="E55" s="70"/>
      <c r="F55" s="71"/>
      <c r="G55" s="70"/>
      <c r="H55" s="70"/>
      <c r="I55" s="70"/>
      <c r="J55" s="70"/>
      <c r="K55" s="70"/>
    </row>
    <row r="56" spans="1:11" s="69" customFormat="1" ht="12.75">
      <c r="A56" s="104" t="s">
        <v>26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</row>
    <row r="57" ht="12.75">
      <c r="A57" s="59"/>
    </row>
    <row r="58" spans="1:10" ht="13.5">
      <c r="A58" s="68"/>
      <c r="B58" s="65"/>
      <c r="C58" s="67" t="s">
        <v>4</v>
      </c>
      <c r="D58" s="67" t="s">
        <v>41</v>
      </c>
      <c r="E58" s="106" t="s">
        <v>48</v>
      </c>
      <c r="F58" s="106"/>
      <c r="G58" s="106"/>
      <c r="H58" s="106"/>
      <c r="I58" s="106"/>
      <c r="J58" s="106"/>
    </row>
    <row r="59" spans="1:10" ht="12.75">
      <c r="A59" s="66"/>
      <c r="B59" s="65"/>
      <c r="C59" s="63" t="s">
        <v>12</v>
      </c>
      <c r="D59" s="63" t="s">
        <v>42</v>
      </c>
      <c r="E59" s="63" t="s">
        <v>49</v>
      </c>
      <c r="F59" s="63" t="s">
        <v>50</v>
      </c>
      <c r="G59" s="63" t="s">
        <v>51</v>
      </c>
      <c r="H59" s="64"/>
      <c r="I59" s="63" t="s">
        <v>53</v>
      </c>
      <c r="J59" s="63" t="s">
        <v>52</v>
      </c>
    </row>
    <row r="60" spans="1:10" ht="12.75">
      <c r="A60" s="59"/>
      <c r="B60" s="62"/>
      <c r="C60" s="60">
        <v>0.4</v>
      </c>
      <c r="D60" s="60">
        <v>0.1</v>
      </c>
      <c r="E60" s="60">
        <v>0.34</v>
      </c>
      <c r="F60" s="60">
        <v>0.075</v>
      </c>
      <c r="G60" s="60">
        <v>0.015</v>
      </c>
      <c r="H60" s="61"/>
      <c r="I60" s="60">
        <v>0.03</v>
      </c>
      <c r="J60" s="60">
        <v>0.04</v>
      </c>
    </row>
    <row r="61" spans="2:11" ht="12.75">
      <c r="B61" s="62"/>
      <c r="D61" s="60"/>
      <c r="E61" s="60"/>
      <c r="F61" s="60"/>
      <c r="G61" s="60"/>
      <c r="H61" s="61"/>
      <c r="I61" s="60"/>
      <c r="J61" s="60"/>
      <c r="K61" s="60"/>
    </row>
    <row r="62" spans="1:11" ht="12.75">
      <c r="A62" s="59" t="s">
        <v>82</v>
      </c>
      <c r="B62" s="62"/>
      <c r="D62" s="60"/>
      <c r="E62" s="60"/>
      <c r="F62" s="60"/>
      <c r="G62" s="60"/>
      <c r="H62" s="61"/>
      <c r="I62" s="60"/>
      <c r="J62" s="60"/>
      <c r="K62" s="60"/>
    </row>
    <row r="63" spans="1:11" ht="12.75">
      <c r="A63" s="59"/>
      <c r="B63" s="62"/>
      <c r="D63" s="60"/>
      <c r="E63" s="60"/>
      <c r="F63" s="60"/>
      <c r="G63" s="60"/>
      <c r="H63" s="61"/>
      <c r="I63" s="60"/>
      <c r="J63" s="60"/>
      <c r="K63" s="60"/>
    </row>
    <row r="64" spans="1:11" ht="12.75">
      <c r="A64" s="59" t="s">
        <v>79</v>
      </c>
      <c r="B64" s="62"/>
      <c r="D64" s="60"/>
      <c r="E64" s="60"/>
      <c r="F64" s="60"/>
      <c r="G64" s="60"/>
      <c r="H64" s="61"/>
      <c r="I64" s="60"/>
      <c r="J64" s="60"/>
      <c r="K64" s="60"/>
    </row>
    <row r="65" ht="12.75">
      <c r="A65" s="59"/>
    </row>
    <row r="66" ht="13.5" customHeight="1">
      <c r="A66" s="101" t="s">
        <v>61</v>
      </c>
    </row>
  </sheetData>
  <sheetProtection/>
  <mergeCells count="10">
    <mergeCell ref="I10:K10"/>
    <mergeCell ref="A31:K31"/>
    <mergeCell ref="A56:K56"/>
    <mergeCell ref="E58:J58"/>
    <mergeCell ref="A1:K1"/>
    <mergeCell ref="A2:K2"/>
    <mergeCell ref="A3:K3"/>
    <mergeCell ref="A4:K4"/>
    <mergeCell ref="A5:K5"/>
    <mergeCell ref="A8:K8"/>
  </mergeCells>
  <hyperlinks>
    <hyperlink ref="A4" r:id="rId1" display="www.rwnewyork.com"/>
  </hyperlinks>
  <printOptions/>
  <pageMargins left="0.25" right="0.25" top="0.75" bottom="0.5" header="0.5" footer="0.5"/>
  <pageSetup fitToHeight="1" fitToWidth="1" horizontalDpi="600" verticalDpi="600" orientation="portrait" scale="7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PageLayoutView="0" workbookViewId="0" topLeftCell="A7">
      <selection activeCell="C22" sqref="C22"/>
    </sheetView>
  </sheetViews>
  <sheetFormatPr defaultColWidth="9.140625" defaultRowHeight="12.75"/>
  <cols>
    <col min="1" max="1" width="9.28125" style="3" customWidth="1"/>
    <col min="2" max="2" width="15.421875" style="16" bestFit="1" customWidth="1"/>
    <col min="3" max="3" width="13.421875" style="16" customWidth="1"/>
    <col min="4" max="4" width="15.421875" style="16" bestFit="1" customWidth="1"/>
    <col min="5" max="5" width="12.7109375" style="16" customWidth="1"/>
    <col min="6" max="6" width="8.28125" style="17" bestFit="1" customWidth="1"/>
    <col min="7" max="7" width="10.7109375" style="16" customWidth="1"/>
    <col min="8" max="8" width="1.421875" style="16" customWidth="1"/>
    <col min="9" max="10" width="12.7109375" style="16" bestFit="1" customWidth="1"/>
    <col min="11" max="11" width="12.00390625" style="16" customWidth="1"/>
    <col min="12" max="12" width="12.28125" style="16" customWidth="1"/>
    <col min="13" max="13" width="12.7109375" style="0" customWidth="1"/>
  </cols>
  <sheetData>
    <row r="1" spans="1:12" ht="18">
      <c r="A1" s="117" t="s">
        <v>45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15">
      <c r="A2" s="118" t="s">
        <v>36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s="1" customFormat="1" ht="15">
      <c r="A3" s="118" t="s">
        <v>37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s="1" customFormat="1" ht="15">
      <c r="A4" s="109" t="s">
        <v>38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s="1" customFormat="1" ht="14.25">
      <c r="A5" s="119" t="s">
        <v>39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s="1" customFormat="1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s="1" customFormat="1" ht="12.75">
      <c r="A7" s="3"/>
      <c r="B7" s="4"/>
      <c r="C7" s="4"/>
      <c r="D7" s="4"/>
      <c r="E7" s="5"/>
      <c r="F7" s="6"/>
      <c r="G7" s="5"/>
      <c r="H7" s="5"/>
      <c r="I7" s="5"/>
      <c r="J7" s="5"/>
      <c r="K7" s="5"/>
      <c r="L7" s="5"/>
    </row>
    <row r="8" spans="1:12" s="7" customFormat="1" ht="14.25" customHeight="1">
      <c r="A8" s="113" t="s">
        <v>65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5"/>
    </row>
    <row r="9" spans="1:12" s="1" customFormat="1" ht="9" customHeight="1">
      <c r="A9" s="3"/>
      <c r="B9" s="4"/>
      <c r="C9" s="4"/>
      <c r="D9" s="4"/>
      <c r="E9" s="5"/>
      <c r="F9" s="6"/>
      <c r="G9" s="5"/>
      <c r="H9" s="5"/>
      <c r="I9" s="5"/>
      <c r="J9" s="5"/>
      <c r="K9" s="5"/>
      <c r="L9" s="5"/>
    </row>
    <row r="10" spans="1:12" s="1" customFormat="1" ht="12.75">
      <c r="A10" s="3"/>
      <c r="B10" s="5"/>
      <c r="C10" s="5"/>
      <c r="D10" s="5"/>
      <c r="E10" s="5"/>
      <c r="F10" s="6"/>
      <c r="G10" s="5"/>
      <c r="H10" s="5"/>
      <c r="I10" s="112" t="s">
        <v>0</v>
      </c>
      <c r="J10" s="112"/>
      <c r="K10" s="112"/>
      <c r="L10" s="112"/>
    </row>
    <row r="11" spans="1:12" s="1" customFormat="1" ht="7.5" customHeight="1">
      <c r="A11" s="3"/>
      <c r="B11" s="5"/>
      <c r="C11" s="5"/>
      <c r="D11" s="5"/>
      <c r="E11" s="5"/>
      <c r="F11" s="6"/>
      <c r="G11" s="5"/>
      <c r="H11" s="5"/>
      <c r="I11" s="5"/>
      <c r="J11" s="5"/>
      <c r="K11" s="5"/>
      <c r="L11" s="5"/>
    </row>
    <row r="12" spans="1:12" s="12" customFormat="1" ht="12">
      <c r="A12" s="9"/>
      <c r="B12" s="10" t="s">
        <v>1</v>
      </c>
      <c r="C12" s="10" t="s">
        <v>29</v>
      </c>
      <c r="D12" s="10" t="s">
        <v>1</v>
      </c>
      <c r="E12" s="10"/>
      <c r="F12" s="11" t="s">
        <v>2</v>
      </c>
      <c r="G12" s="10" t="s">
        <v>3</v>
      </c>
      <c r="H12" s="10"/>
      <c r="I12" s="10" t="s">
        <v>4</v>
      </c>
      <c r="J12" s="10" t="s">
        <v>40</v>
      </c>
      <c r="K12" s="10" t="s">
        <v>5</v>
      </c>
      <c r="L12" s="10" t="s">
        <v>41</v>
      </c>
    </row>
    <row r="13" spans="1:12" s="12" customFormat="1" ht="12">
      <c r="A13" s="13" t="s">
        <v>6</v>
      </c>
      <c r="B13" s="8" t="s">
        <v>7</v>
      </c>
      <c r="C13" s="8" t="s">
        <v>14</v>
      </c>
      <c r="D13" s="8" t="s">
        <v>8</v>
      </c>
      <c r="E13" s="8" t="s">
        <v>9</v>
      </c>
      <c r="F13" s="14" t="s">
        <v>10</v>
      </c>
      <c r="G13" s="8" t="s">
        <v>11</v>
      </c>
      <c r="H13" s="15"/>
      <c r="I13" s="8" t="s">
        <v>12</v>
      </c>
      <c r="J13" s="8" t="s">
        <v>13</v>
      </c>
      <c r="K13" s="8" t="s">
        <v>14</v>
      </c>
      <c r="L13" s="8" t="s">
        <v>42</v>
      </c>
    </row>
    <row r="15" spans="1:12" ht="12.75">
      <c r="A15" s="3">
        <v>42095</v>
      </c>
      <c r="B15" s="16">
        <v>1637144509.93</v>
      </c>
      <c r="C15" s="16">
        <v>8898594.35</v>
      </c>
      <c r="D15" s="16">
        <f aca="true" t="shared" si="0" ref="D15:D26">+B15-C15-E15</f>
        <v>1557120141.0800002</v>
      </c>
      <c r="E15" s="16">
        <v>71125774.5</v>
      </c>
      <c r="F15" s="17">
        <v>4987</v>
      </c>
      <c r="G15" s="16">
        <f>E15/F15/30</f>
        <v>475.4078905153399</v>
      </c>
      <c r="H15" s="16">
        <v>31295340.78</v>
      </c>
      <c r="I15" s="16">
        <v>31295340.78</v>
      </c>
      <c r="J15" s="16">
        <v>27027794.31</v>
      </c>
      <c r="K15" s="16">
        <v>5690061.97</v>
      </c>
      <c r="L15" s="16">
        <v>7112577.44</v>
      </c>
    </row>
    <row r="16" spans="1:12" ht="12.75">
      <c r="A16" s="3">
        <v>42125</v>
      </c>
      <c r="B16" s="16">
        <v>1666178474.93</v>
      </c>
      <c r="C16" s="16">
        <v>9554459.93</v>
      </c>
      <c r="D16" s="16">
        <f t="shared" si="0"/>
        <v>1584103316.78</v>
      </c>
      <c r="E16" s="16">
        <v>72520698.22</v>
      </c>
      <c r="F16" s="17">
        <v>5019</v>
      </c>
      <c r="G16" s="16">
        <f>E16/F16/31</f>
        <v>466.10427613777324</v>
      </c>
      <c r="I16" s="16">
        <v>31909107.19</v>
      </c>
      <c r="J16" s="16">
        <v>27557865.31</v>
      </c>
      <c r="K16" s="16">
        <v>5801655.87</v>
      </c>
      <c r="L16" s="16">
        <v>7252069.83</v>
      </c>
    </row>
    <row r="17" spans="1:12" ht="12.75">
      <c r="A17" s="3">
        <v>42156</v>
      </c>
      <c r="B17" s="16">
        <v>1557605358.65</v>
      </c>
      <c r="C17" s="16">
        <v>9355088.23</v>
      </c>
      <c r="D17" s="16">
        <f t="shared" si="0"/>
        <v>1481884264.18</v>
      </c>
      <c r="E17" s="16">
        <v>66366006.24</v>
      </c>
      <c r="F17" s="17">
        <v>5026</v>
      </c>
      <c r="G17" s="16">
        <f>E17/F17/30</f>
        <v>440.15125507361716</v>
      </c>
      <c r="I17" s="16">
        <v>29201042.75</v>
      </c>
      <c r="J17" s="16">
        <v>25219082.38</v>
      </c>
      <c r="K17" s="16">
        <v>5309280.5</v>
      </c>
      <c r="L17" s="16">
        <v>6636600.64</v>
      </c>
    </row>
    <row r="18" spans="1:12" ht="12.75">
      <c r="A18" s="3">
        <v>42186</v>
      </c>
      <c r="B18" s="16">
        <v>1684402892.59</v>
      </c>
      <c r="C18" s="16">
        <v>10587201.15</v>
      </c>
      <c r="D18" s="16">
        <f t="shared" si="0"/>
        <v>1604474642.5699997</v>
      </c>
      <c r="E18" s="16">
        <v>69341048.87</v>
      </c>
      <c r="F18" s="17">
        <v>5084</v>
      </c>
      <c r="G18" s="16">
        <f>E18/F18/31</f>
        <v>439.9701078018325</v>
      </c>
      <c r="I18" s="16">
        <v>30510061.5</v>
      </c>
      <c r="J18" s="16">
        <v>26349598.56</v>
      </c>
      <c r="K18" s="16">
        <v>5547283.91</v>
      </c>
      <c r="L18" s="16">
        <v>6934104.9</v>
      </c>
    </row>
    <row r="19" spans="1:12" ht="12.75">
      <c r="A19" s="3">
        <v>42217</v>
      </c>
      <c r="B19" s="16">
        <v>1690560311.1</v>
      </c>
      <c r="C19" s="16">
        <v>10471254.35</v>
      </c>
      <c r="D19" s="16">
        <f t="shared" si="0"/>
        <v>1610805650.64</v>
      </c>
      <c r="E19" s="16">
        <v>69283406.11</v>
      </c>
      <c r="F19" s="17">
        <v>5132</v>
      </c>
      <c r="G19" s="16">
        <f>E19/F19/31</f>
        <v>435.4927093128504</v>
      </c>
      <c r="I19" s="16">
        <v>30484698.7</v>
      </c>
      <c r="J19" s="16">
        <v>26327694.32</v>
      </c>
      <c r="K19" s="16">
        <v>5542672.46</v>
      </c>
      <c r="L19" s="16">
        <v>6928340.61</v>
      </c>
    </row>
    <row r="20" spans="1:12" ht="12.75">
      <c r="A20" s="3">
        <v>42248</v>
      </c>
      <c r="B20" s="16">
        <v>1618519241.11</v>
      </c>
      <c r="C20" s="16">
        <v>7648985.25</v>
      </c>
      <c r="D20" s="16">
        <f t="shared" si="0"/>
        <v>1541766007.4899998</v>
      </c>
      <c r="E20" s="16">
        <v>69104248.37</v>
      </c>
      <c r="F20" s="17">
        <v>5145</v>
      </c>
      <c r="G20" s="16">
        <f>E20/F20/30</f>
        <v>447.71135970197605</v>
      </c>
      <c r="I20" s="16">
        <v>30405869.27</v>
      </c>
      <c r="J20" s="16">
        <v>26259614.39</v>
      </c>
      <c r="K20" s="16">
        <v>5528339.89</v>
      </c>
      <c r="L20" s="16">
        <v>6910424.88</v>
      </c>
    </row>
    <row r="21" spans="1:12" ht="12.75">
      <c r="A21" s="3">
        <v>42278</v>
      </c>
      <c r="B21" s="16">
        <v>1686400208.28</v>
      </c>
      <c r="C21" s="16">
        <v>10988762.22</v>
      </c>
      <c r="D21" s="16">
        <f t="shared" si="0"/>
        <v>1606466066.96</v>
      </c>
      <c r="E21" s="16">
        <v>68945379.1</v>
      </c>
      <c r="F21" s="17">
        <v>5132</v>
      </c>
      <c r="G21" s="16">
        <f>E21/F21/31</f>
        <v>433.36798267669013</v>
      </c>
      <c r="I21" s="16">
        <v>30335966.81</v>
      </c>
      <c r="J21" s="16">
        <v>26199244.06</v>
      </c>
      <c r="K21" s="16">
        <v>5515630.3</v>
      </c>
      <c r="L21" s="16">
        <v>6894537.94</v>
      </c>
    </row>
    <row r="22" spans="1:13" ht="12.75">
      <c r="A22" s="3">
        <v>42309</v>
      </c>
      <c r="B22" s="16">
        <v>1660094049.26</v>
      </c>
      <c r="C22" s="16">
        <v>9227949.19</v>
      </c>
      <c r="D22" s="16">
        <f t="shared" si="0"/>
        <v>1582247235.58</v>
      </c>
      <c r="E22" s="16">
        <v>68618864.49</v>
      </c>
      <c r="F22" s="17">
        <v>5080</v>
      </c>
      <c r="G22" s="16">
        <f>E22/F22/30</f>
        <v>450.2550163385826</v>
      </c>
      <c r="I22" s="16">
        <v>30192300.39</v>
      </c>
      <c r="J22" s="16">
        <v>26075168.5</v>
      </c>
      <c r="K22" s="16">
        <v>5489509.15</v>
      </c>
      <c r="L22" s="16">
        <v>6861886.46</v>
      </c>
      <c r="M22" s="16"/>
    </row>
    <row r="23" spans="1:12" ht="12.75">
      <c r="A23" s="3">
        <v>42339</v>
      </c>
      <c r="B23" s="16">
        <v>1772444859.93</v>
      </c>
      <c r="C23" s="16">
        <v>8857158.96</v>
      </c>
      <c r="D23" s="16">
        <f t="shared" si="0"/>
        <v>1690583716.85</v>
      </c>
      <c r="E23" s="16">
        <v>73003984.12</v>
      </c>
      <c r="F23" s="17">
        <v>5104</v>
      </c>
      <c r="G23" s="16">
        <f>E23/F23/31</f>
        <v>461.39640079886743</v>
      </c>
      <c r="I23" s="16">
        <v>32121753.02</v>
      </c>
      <c r="J23" s="16">
        <v>27741513.95</v>
      </c>
      <c r="K23" s="16">
        <v>5840318.73</v>
      </c>
      <c r="L23" s="16">
        <v>7300398.44</v>
      </c>
    </row>
    <row r="24" spans="1:12" ht="12.75">
      <c r="A24" s="3">
        <v>42370</v>
      </c>
      <c r="B24" s="16">
        <v>1681977415.26</v>
      </c>
      <c r="C24" s="16">
        <v>7779775.86</v>
      </c>
      <c r="D24" s="16">
        <f t="shared" si="0"/>
        <v>1606421174.75</v>
      </c>
      <c r="E24" s="16">
        <v>67776464.65</v>
      </c>
      <c r="F24" s="17">
        <v>5385</v>
      </c>
      <c r="G24" s="16">
        <f>E24/F24/31</f>
        <v>406.0051196573517</v>
      </c>
      <c r="I24" s="16">
        <v>29821644.45</v>
      </c>
      <c r="J24" s="16">
        <v>25755056.55</v>
      </c>
      <c r="K24" s="16">
        <v>5422117.17</v>
      </c>
      <c r="L24" s="16">
        <v>6777646.48</v>
      </c>
    </row>
    <row r="25" spans="1:12" ht="12.75">
      <c r="A25" s="3">
        <v>42401</v>
      </c>
      <c r="B25" s="16">
        <v>1675654390.99</v>
      </c>
      <c r="C25" s="16">
        <v>7590830.63</v>
      </c>
      <c r="D25" s="16">
        <f t="shared" si="0"/>
        <v>1597221118.7199998</v>
      </c>
      <c r="E25" s="16">
        <v>70842441.64</v>
      </c>
      <c r="F25" s="17">
        <v>5433</v>
      </c>
      <c r="G25" s="16">
        <f>E25/F25/29</f>
        <v>449.63055681435924</v>
      </c>
      <c r="I25" s="16">
        <v>31170674.32</v>
      </c>
      <c r="J25" s="16">
        <v>26920127.81</v>
      </c>
      <c r="K25" s="16">
        <v>5667395.34</v>
      </c>
      <c r="L25" s="16">
        <v>7084244.16</v>
      </c>
    </row>
    <row r="26" spans="1:12" ht="12.75">
      <c r="A26" s="3">
        <v>42430</v>
      </c>
      <c r="B26" s="16">
        <v>1863575619.67</v>
      </c>
      <c r="C26" s="16">
        <v>6357247.09</v>
      </c>
      <c r="D26" s="16">
        <f t="shared" si="0"/>
        <v>1778239479.19</v>
      </c>
      <c r="E26" s="16">
        <v>78978893.39</v>
      </c>
      <c r="F26" s="17">
        <v>5525</v>
      </c>
      <c r="G26" s="16">
        <f>E26/F26/31</f>
        <v>461.1233010655379</v>
      </c>
      <c r="I26" s="16">
        <v>34750713.08</v>
      </c>
      <c r="J26" s="16">
        <v>30011979.5</v>
      </c>
      <c r="K26" s="16">
        <v>6318311.48</v>
      </c>
      <c r="L26" s="16">
        <v>7897889.31</v>
      </c>
    </row>
    <row r="27" spans="1:12" ht="13.5" thickBot="1">
      <c r="A27" s="3" t="s">
        <v>15</v>
      </c>
      <c r="B27" s="18">
        <f>SUM(B15:B26)</f>
        <v>20194557331.700005</v>
      </c>
      <c r="C27" s="18">
        <f>SUM(C15:C26)</f>
        <v>107317307.21</v>
      </c>
      <c r="D27" s="18">
        <f>SUM(D15:D26)</f>
        <v>19241332814.79</v>
      </c>
      <c r="E27" s="18">
        <f>SUM(E15:E26)</f>
        <v>845907209.7</v>
      </c>
      <c r="I27" s="18">
        <f>SUM(I15:I26)</f>
        <v>372199172.25999993</v>
      </c>
      <c r="J27" s="18">
        <f>SUM(J15:J26)</f>
        <v>321444739.64</v>
      </c>
      <c r="K27" s="18">
        <f>SUM(K15:K26)</f>
        <v>67672576.77000001</v>
      </c>
      <c r="L27" s="18">
        <f>SUM(L15:L26)</f>
        <v>84590721.09</v>
      </c>
    </row>
    <row r="28" spans="2:12" ht="10.5" customHeight="1" thickTop="1">
      <c r="B28" s="19"/>
      <c r="C28" s="19"/>
      <c r="D28" s="19"/>
      <c r="E28" s="19"/>
      <c r="I28" s="19"/>
      <c r="J28" s="19"/>
      <c r="K28" s="19"/>
      <c r="L28" s="19"/>
    </row>
    <row r="29" spans="1:12" s="22" customFormat="1" ht="12.75">
      <c r="A29" s="20"/>
      <c r="B29" s="21"/>
      <c r="C29" s="21">
        <f>C27/B27</f>
        <v>0.0053141698254282</v>
      </c>
      <c r="D29" s="21">
        <f>D27/B27</f>
        <v>0.9527979494052242</v>
      </c>
      <c r="E29" s="21">
        <f>E27/B27</f>
        <v>0.041887880769347394</v>
      </c>
      <c r="I29" s="21">
        <f>I27/$E$27</f>
        <v>0.43999999999054257</v>
      </c>
      <c r="J29" s="21">
        <f>J27/$E$27</f>
        <v>0.37999999994562045</v>
      </c>
      <c r="K29" s="21">
        <f>K27/$E$27</f>
        <v>0.07999999999290704</v>
      </c>
      <c r="L29" s="21">
        <f>L27/$E$27</f>
        <v>0.10000000014185953</v>
      </c>
    </row>
    <row r="31" spans="1:12" s="23" customFormat="1" ht="12.75">
      <c r="A31" s="113" t="s">
        <v>16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5"/>
    </row>
    <row r="32" ht="12.75">
      <c r="A32" s="24"/>
    </row>
    <row r="33" spans="1:12" s="37" customFormat="1" ht="12.75" customHeight="1">
      <c r="A33" s="33" t="s">
        <v>17</v>
      </c>
      <c r="B33" s="34"/>
      <c r="C33" s="46" t="s">
        <v>58</v>
      </c>
      <c r="D33" s="47"/>
      <c r="E33" s="47"/>
      <c r="F33" s="47"/>
      <c r="G33" s="47"/>
      <c r="H33" s="47"/>
      <c r="I33" s="47"/>
      <c r="J33" s="47"/>
      <c r="K33" s="47"/>
      <c r="L33" s="47"/>
    </row>
    <row r="34" spans="1:12" s="37" customFormat="1" ht="12.75" customHeight="1">
      <c r="A34" s="33"/>
      <c r="B34" s="34"/>
      <c r="C34" s="46" t="s">
        <v>59</v>
      </c>
      <c r="D34" s="47"/>
      <c r="E34" s="47"/>
      <c r="F34" s="47"/>
      <c r="G34" s="47"/>
      <c r="H34" s="47"/>
      <c r="I34" s="47"/>
      <c r="J34" s="47"/>
      <c r="K34" s="47"/>
      <c r="L34" s="47"/>
    </row>
    <row r="35" spans="1:12" ht="6" customHeight="1">
      <c r="A35" s="25"/>
      <c r="B35" s="26"/>
      <c r="C35" s="26"/>
      <c r="F35" s="26"/>
      <c r="G35" s="26"/>
      <c r="H35" s="26"/>
      <c r="I35" s="26"/>
      <c r="J35" s="26"/>
      <c r="K35" s="26"/>
      <c r="L35" s="26"/>
    </row>
    <row r="36" spans="1:13" ht="12.75">
      <c r="A36" s="25" t="s">
        <v>60</v>
      </c>
      <c r="B36" s="26"/>
      <c r="C36" s="26" t="s">
        <v>47</v>
      </c>
      <c r="F36" s="26"/>
      <c r="G36" s="26"/>
      <c r="H36" s="26"/>
      <c r="I36" s="26"/>
      <c r="J36" s="26"/>
      <c r="K36" s="26"/>
      <c r="L36" s="26"/>
      <c r="M36" s="26"/>
    </row>
    <row r="37" spans="1:12" ht="6" customHeight="1">
      <c r="A37" s="25"/>
      <c r="B37" s="26"/>
      <c r="C37" s="26"/>
      <c r="F37" s="26"/>
      <c r="G37" s="26"/>
      <c r="H37" s="26"/>
      <c r="I37" s="26"/>
      <c r="J37" s="26"/>
      <c r="K37" s="26"/>
      <c r="L37" s="26"/>
    </row>
    <row r="38" spans="1:12" ht="12.75">
      <c r="A38" s="25" t="s">
        <v>18</v>
      </c>
      <c r="B38" s="26"/>
      <c r="C38" s="46" t="s">
        <v>63</v>
      </c>
      <c r="F38" s="26"/>
      <c r="G38" s="26"/>
      <c r="H38" s="26"/>
      <c r="I38" s="26"/>
      <c r="J38" s="26"/>
      <c r="K38" s="26"/>
      <c r="L38" s="26"/>
    </row>
    <row r="39" spans="1:12" ht="6" customHeight="1">
      <c r="A39" s="25"/>
      <c r="B39" s="26"/>
      <c r="C39" s="26"/>
      <c r="F39" s="26"/>
      <c r="G39" s="26"/>
      <c r="H39" s="26"/>
      <c r="I39" s="26"/>
      <c r="J39" s="26"/>
      <c r="K39" s="26"/>
      <c r="L39" s="26"/>
    </row>
    <row r="40" spans="1:12" ht="12.75">
      <c r="A40" s="25" t="s">
        <v>20</v>
      </c>
      <c r="B40" s="26"/>
      <c r="C40" s="26" t="s">
        <v>21</v>
      </c>
      <c r="F40" s="27"/>
      <c r="G40" s="26"/>
      <c r="H40" s="26"/>
      <c r="I40" s="26"/>
      <c r="J40" s="26"/>
      <c r="K40" s="26"/>
      <c r="L40" s="26"/>
    </row>
    <row r="41" spans="1:12" ht="12.75">
      <c r="A41" s="25"/>
      <c r="B41" s="26"/>
      <c r="C41" s="26" t="s">
        <v>22</v>
      </c>
      <c r="F41" s="27"/>
      <c r="G41" s="26"/>
      <c r="H41" s="26"/>
      <c r="I41" s="26"/>
      <c r="J41" s="26"/>
      <c r="K41" s="26"/>
      <c r="L41" s="26"/>
    </row>
    <row r="42" spans="1:12" ht="6" customHeight="1">
      <c r="A42" s="25"/>
      <c r="B42" s="26"/>
      <c r="C42" s="26"/>
      <c r="F42" s="27"/>
      <c r="G42" s="26"/>
      <c r="H42" s="26"/>
      <c r="I42" s="26"/>
      <c r="J42" s="26"/>
      <c r="K42" s="26"/>
      <c r="L42" s="26"/>
    </row>
    <row r="43" spans="1:12" ht="12.75">
      <c r="A43" s="25" t="s">
        <v>23</v>
      </c>
      <c r="B43" s="26"/>
      <c r="C43" s="26" t="s">
        <v>24</v>
      </c>
      <c r="F43" s="27"/>
      <c r="G43" s="26"/>
      <c r="H43" s="26"/>
      <c r="I43" s="26"/>
      <c r="J43" s="26"/>
      <c r="K43" s="26"/>
      <c r="L43" s="26"/>
    </row>
    <row r="44" spans="1:12" ht="6" customHeight="1">
      <c r="A44" s="25"/>
      <c r="B44" s="26"/>
      <c r="C44" s="26"/>
      <c r="D44" s="26"/>
      <c r="F44" s="27"/>
      <c r="G44" s="26"/>
      <c r="H44" s="26"/>
      <c r="I44" s="26"/>
      <c r="J44" s="26"/>
      <c r="K44" s="26"/>
      <c r="L44" s="26"/>
    </row>
    <row r="45" spans="1:12" s="37" customFormat="1" ht="12.75">
      <c r="A45" s="33" t="s">
        <v>30</v>
      </c>
      <c r="B45" s="34"/>
      <c r="C45" s="34" t="s">
        <v>31</v>
      </c>
      <c r="D45" s="35"/>
      <c r="E45" s="36"/>
      <c r="F45" s="34"/>
      <c r="G45" s="34"/>
      <c r="H45" s="34"/>
      <c r="I45" s="34"/>
      <c r="J45" s="34"/>
      <c r="K45" s="34"/>
      <c r="L45" s="34"/>
    </row>
    <row r="46" spans="1:12" s="37" customFormat="1" ht="12.75">
      <c r="A46" s="33"/>
      <c r="B46" s="34"/>
      <c r="C46" s="34" t="s">
        <v>43</v>
      </c>
      <c r="D46" s="35"/>
      <c r="E46" s="36"/>
      <c r="F46" s="34"/>
      <c r="G46" s="34"/>
      <c r="H46" s="34"/>
      <c r="I46" s="34"/>
      <c r="J46" s="34"/>
      <c r="K46" s="34"/>
      <c r="L46" s="34"/>
    </row>
    <row r="47" spans="1:12" s="37" customFormat="1" ht="12.75">
      <c r="A47" s="33"/>
      <c r="B47" s="34"/>
      <c r="C47" s="34" t="s">
        <v>44</v>
      </c>
      <c r="D47" s="35"/>
      <c r="E47" s="36"/>
      <c r="F47" s="34"/>
      <c r="G47" s="34"/>
      <c r="H47" s="34"/>
      <c r="I47" s="34"/>
      <c r="J47" s="34"/>
      <c r="K47" s="34"/>
      <c r="L47" s="34"/>
    </row>
    <row r="48" spans="1:12" ht="6" customHeight="1">
      <c r="A48" s="25"/>
      <c r="B48" s="26"/>
      <c r="C48" s="26"/>
      <c r="D48" s="26"/>
      <c r="F48" s="27"/>
      <c r="G48" s="26"/>
      <c r="H48" s="26"/>
      <c r="I48" s="26"/>
      <c r="J48" s="26"/>
      <c r="K48" s="26"/>
      <c r="L48" s="26"/>
    </row>
    <row r="49" spans="1:12" s="37" customFormat="1" ht="12.75">
      <c r="A49" s="33" t="s">
        <v>25</v>
      </c>
      <c r="B49" s="34"/>
      <c r="C49" s="34" t="s">
        <v>32</v>
      </c>
      <c r="D49" s="35"/>
      <c r="E49" s="36"/>
      <c r="F49" s="34"/>
      <c r="G49" s="34"/>
      <c r="H49" s="34"/>
      <c r="I49" s="34"/>
      <c r="J49" s="34"/>
      <c r="K49" s="34"/>
      <c r="L49" s="34"/>
    </row>
    <row r="50" spans="1:12" s="37" customFormat="1" ht="12.75">
      <c r="A50" s="33"/>
      <c r="B50" s="34"/>
      <c r="C50" s="34" t="s">
        <v>33</v>
      </c>
      <c r="D50" s="35"/>
      <c r="E50" s="36"/>
      <c r="F50" s="34"/>
      <c r="G50" s="34"/>
      <c r="H50" s="34"/>
      <c r="I50" s="34"/>
      <c r="J50" s="34"/>
      <c r="K50" s="34"/>
      <c r="L50" s="34"/>
    </row>
    <row r="51" spans="1:12" ht="6" customHeight="1">
      <c r="A51" s="25"/>
      <c r="B51" s="26"/>
      <c r="C51" s="26"/>
      <c r="F51" s="27"/>
      <c r="G51" s="26"/>
      <c r="H51" s="26"/>
      <c r="I51" s="26"/>
      <c r="J51" s="26"/>
      <c r="K51" s="26"/>
      <c r="L51" s="26"/>
    </row>
    <row r="52" spans="1:12" s="37" customFormat="1" ht="12.75">
      <c r="A52" s="33" t="s">
        <v>46</v>
      </c>
      <c r="B52" s="34"/>
      <c r="C52" s="34" t="s">
        <v>34</v>
      </c>
      <c r="D52" s="35"/>
      <c r="E52" s="36"/>
      <c r="F52" s="34"/>
      <c r="G52" s="34"/>
      <c r="H52" s="34"/>
      <c r="I52" s="34"/>
      <c r="J52" s="34"/>
      <c r="K52" s="34"/>
      <c r="L52" s="34"/>
    </row>
    <row r="53" spans="1:12" s="37" customFormat="1" ht="12.75">
      <c r="A53" s="38"/>
      <c r="B53" s="34"/>
      <c r="C53" s="34" t="s">
        <v>35</v>
      </c>
      <c r="D53" s="35"/>
      <c r="E53" s="36"/>
      <c r="F53" s="34"/>
      <c r="G53" s="34"/>
      <c r="H53" s="34"/>
      <c r="I53" s="34"/>
      <c r="J53" s="34"/>
      <c r="K53" s="34"/>
      <c r="L53" s="34"/>
    </row>
    <row r="54" spans="1:12" ht="12.75">
      <c r="A54" s="28"/>
      <c r="B54" s="29"/>
      <c r="C54" s="29"/>
      <c r="D54" s="29"/>
      <c r="E54" s="29"/>
      <c r="F54" s="30"/>
      <c r="G54" s="29"/>
      <c r="H54" s="29"/>
      <c r="I54" s="29"/>
      <c r="J54" s="29"/>
      <c r="K54" s="29"/>
      <c r="L54" s="29"/>
    </row>
    <row r="55" spans="1:12" s="23" customFormat="1" ht="12.75">
      <c r="A55" s="113" t="s">
        <v>26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5"/>
    </row>
    <row r="56" ht="12.75">
      <c r="A56" s="24"/>
    </row>
    <row r="57" spans="1:12" ht="13.5">
      <c r="A57" s="31"/>
      <c r="B57" s="42"/>
      <c r="D57" s="43" t="s">
        <v>4</v>
      </c>
      <c r="E57" s="116" t="s">
        <v>48</v>
      </c>
      <c r="F57" s="116"/>
      <c r="G57" s="116"/>
      <c r="H57" s="116"/>
      <c r="I57" s="116"/>
      <c r="J57" s="116"/>
      <c r="K57" s="43" t="s">
        <v>5</v>
      </c>
      <c r="L57" s="43" t="s">
        <v>41</v>
      </c>
    </row>
    <row r="58" spans="1:12" ht="12.75">
      <c r="A58" s="32"/>
      <c r="B58" s="42"/>
      <c r="D58" s="44" t="s">
        <v>12</v>
      </c>
      <c r="E58" s="44" t="s">
        <v>49</v>
      </c>
      <c r="F58" s="44" t="s">
        <v>50</v>
      </c>
      <c r="G58" s="44" t="s">
        <v>51</v>
      </c>
      <c r="H58" s="45"/>
      <c r="I58" s="44" t="s">
        <v>53</v>
      </c>
      <c r="J58" s="44" t="s">
        <v>52</v>
      </c>
      <c r="K58" s="44" t="s">
        <v>14</v>
      </c>
      <c r="L58" s="44" t="s">
        <v>42</v>
      </c>
    </row>
    <row r="59" spans="1:12" ht="12.75">
      <c r="A59" s="24" t="s">
        <v>54</v>
      </c>
      <c r="B59" s="39"/>
      <c r="D59" s="40">
        <v>0.44</v>
      </c>
      <c r="E59" s="40">
        <v>0.235</v>
      </c>
      <c r="F59" s="40">
        <v>0.065</v>
      </c>
      <c r="G59" s="40">
        <v>0.01</v>
      </c>
      <c r="H59" s="41"/>
      <c r="I59" s="40">
        <v>0.03</v>
      </c>
      <c r="J59" s="40">
        <v>0.04</v>
      </c>
      <c r="K59" s="40">
        <v>0.08</v>
      </c>
      <c r="L59" s="40">
        <v>0.1</v>
      </c>
    </row>
    <row r="60" spans="1:12" ht="12.75">
      <c r="A60" s="24" t="s">
        <v>55</v>
      </c>
      <c r="B60" s="39"/>
      <c r="D60" s="40">
        <v>0.44</v>
      </c>
      <c r="E60" s="40">
        <v>0.2275</v>
      </c>
      <c r="F60" s="40">
        <v>0.07</v>
      </c>
      <c r="G60" s="40">
        <v>0.0125</v>
      </c>
      <c r="H60" s="41"/>
      <c r="I60" s="40">
        <v>0.03</v>
      </c>
      <c r="J60" s="40">
        <v>0.04</v>
      </c>
      <c r="K60" s="40">
        <v>0.08</v>
      </c>
      <c r="L60" s="40">
        <v>0.1</v>
      </c>
    </row>
    <row r="61" spans="1:12" ht="12.75">
      <c r="A61" s="24" t="s">
        <v>56</v>
      </c>
      <c r="B61" s="39"/>
      <c r="D61" s="40">
        <v>0.44</v>
      </c>
      <c r="E61" s="40">
        <v>0.22</v>
      </c>
      <c r="F61" s="40">
        <v>0.075</v>
      </c>
      <c r="G61" s="40">
        <v>0.015</v>
      </c>
      <c r="H61" s="41"/>
      <c r="I61" s="40">
        <v>0.03</v>
      </c>
      <c r="J61" s="40">
        <v>0.04</v>
      </c>
      <c r="K61" s="40">
        <v>0.08</v>
      </c>
      <c r="L61" s="40">
        <v>0.1</v>
      </c>
    </row>
    <row r="62" spans="2:12" ht="12.75">
      <c r="B62" s="39"/>
      <c r="D62" s="40"/>
      <c r="E62" s="40"/>
      <c r="F62" s="40"/>
      <c r="G62" s="40"/>
      <c r="H62" s="41"/>
      <c r="I62" s="40"/>
      <c r="J62" s="40"/>
      <c r="K62" s="40"/>
      <c r="L62" s="40"/>
    </row>
    <row r="64" ht="12.75">
      <c r="A64" s="48" t="s">
        <v>61</v>
      </c>
    </row>
  </sheetData>
  <sheetProtection/>
  <mergeCells count="10">
    <mergeCell ref="I10:L10"/>
    <mergeCell ref="A31:L31"/>
    <mergeCell ref="A55:L55"/>
    <mergeCell ref="E57:J57"/>
    <mergeCell ref="A1:L1"/>
    <mergeCell ref="A2:L2"/>
    <mergeCell ref="A3:L3"/>
    <mergeCell ref="A4:L4"/>
    <mergeCell ref="A5:L5"/>
    <mergeCell ref="A8:L8"/>
  </mergeCells>
  <hyperlinks>
    <hyperlink ref="A4" r:id="rId1" display="www.rwnewyork.com"/>
  </hyperlinks>
  <printOptions/>
  <pageMargins left="0.25" right="0.25" top="0.75" bottom="0.5" header="0.5" footer="0.5"/>
  <pageSetup fitToHeight="1" fitToWidth="1" horizontalDpi="600" verticalDpi="600" orientation="portrait" scale="76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PageLayoutView="0" workbookViewId="0" topLeftCell="A1">
      <selection activeCell="M25" sqref="M25"/>
    </sheetView>
  </sheetViews>
  <sheetFormatPr defaultColWidth="9.140625" defaultRowHeight="12.75"/>
  <cols>
    <col min="1" max="1" width="9.28125" style="3" customWidth="1"/>
    <col min="2" max="2" width="15.421875" style="16" bestFit="1" customWidth="1"/>
    <col min="3" max="3" width="13.421875" style="16" customWidth="1"/>
    <col min="4" max="4" width="15.421875" style="16" bestFit="1" customWidth="1"/>
    <col min="5" max="5" width="12.7109375" style="16" customWidth="1"/>
    <col min="6" max="6" width="8.28125" style="17" bestFit="1" customWidth="1"/>
    <col min="7" max="7" width="10.7109375" style="16" customWidth="1"/>
    <col min="8" max="8" width="1.421875" style="16" customWidth="1"/>
    <col min="9" max="10" width="12.7109375" style="16" bestFit="1" customWidth="1"/>
    <col min="11" max="11" width="12.00390625" style="16" customWidth="1"/>
    <col min="12" max="12" width="12.28125" style="16" customWidth="1"/>
    <col min="13" max="13" width="12.7109375" style="0" customWidth="1"/>
  </cols>
  <sheetData>
    <row r="1" spans="1:12" ht="18">
      <c r="A1" s="117" t="s">
        <v>45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15">
      <c r="A2" s="118" t="s">
        <v>36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s="1" customFormat="1" ht="15">
      <c r="A3" s="118" t="s">
        <v>37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s="1" customFormat="1" ht="15">
      <c r="A4" s="109" t="s">
        <v>38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s="1" customFormat="1" ht="14.25">
      <c r="A5" s="119" t="s">
        <v>39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s="1" customFormat="1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s="1" customFormat="1" ht="12.75">
      <c r="A7" s="3"/>
      <c r="B7" s="4"/>
      <c r="C7" s="4"/>
      <c r="D7" s="4"/>
      <c r="E7" s="5"/>
      <c r="F7" s="6"/>
      <c r="G7" s="5"/>
      <c r="H7" s="5"/>
      <c r="I7" s="5"/>
      <c r="J7" s="5"/>
      <c r="K7" s="5"/>
      <c r="L7" s="5"/>
    </row>
    <row r="8" spans="1:12" s="7" customFormat="1" ht="14.25" customHeight="1">
      <c r="A8" s="113" t="s">
        <v>64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5"/>
    </row>
    <row r="9" spans="1:12" s="1" customFormat="1" ht="9" customHeight="1">
      <c r="A9" s="3"/>
      <c r="B9" s="4"/>
      <c r="C9" s="4"/>
      <c r="D9" s="4"/>
      <c r="E9" s="5"/>
      <c r="F9" s="6"/>
      <c r="G9" s="5"/>
      <c r="H9" s="5"/>
      <c r="I9" s="5"/>
      <c r="J9" s="5"/>
      <c r="K9" s="5"/>
      <c r="L9" s="5"/>
    </row>
    <row r="10" spans="1:12" s="1" customFormat="1" ht="12.75">
      <c r="A10" s="3"/>
      <c r="B10" s="5"/>
      <c r="C10" s="5"/>
      <c r="D10" s="5"/>
      <c r="E10" s="5"/>
      <c r="F10" s="6"/>
      <c r="G10" s="5"/>
      <c r="H10" s="5"/>
      <c r="I10" s="112" t="s">
        <v>0</v>
      </c>
      <c r="J10" s="112"/>
      <c r="K10" s="112"/>
      <c r="L10" s="112"/>
    </row>
    <row r="11" spans="1:12" s="1" customFormat="1" ht="7.5" customHeight="1">
      <c r="A11" s="3"/>
      <c r="B11" s="5"/>
      <c r="C11" s="5"/>
      <c r="D11" s="5"/>
      <c r="E11" s="5"/>
      <c r="F11" s="6"/>
      <c r="G11" s="5"/>
      <c r="H11" s="5"/>
      <c r="I11" s="5"/>
      <c r="J11" s="5"/>
      <c r="K11" s="5"/>
      <c r="L11" s="5"/>
    </row>
    <row r="12" spans="1:12" s="12" customFormat="1" ht="12">
      <c r="A12" s="9"/>
      <c r="B12" s="10" t="s">
        <v>1</v>
      </c>
      <c r="C12" s="10" t="s">
        <v>29</v>
      </c>
      <c r="D12" s="10" t="s">
        <v>1</v>
      </c>
      <c r="E12" s="10"/>
      <c r="F12" s="11" t="s">
        <v>2</v>
      </c>
      <c r="G12" s="10" t="s">
        <v>3</v>
      </c>
      <c r="H12" s="10"/>
      <c r="I12" s="10" t="s">
        <v>4</v>
      </c>
      <c r="J12" s="10" t="s">
        <v>40</v>
      </c>
      <c r="K12" s="10" t="s">
        <v>5</v>
      </c>
      <c r="L12" s="10" t="s">
        <v>41</v>
      </c>
    </row>
    <row r="13" spans="1:12" s="12" customFormat="1" ht="12">
      <c r="A13" s="13" t="s">
        <v>6</v>
      </c>
      <c r="B13" s="8" t="s">
        <v>7</v>
      </c>
      <c r="C13" s="8" t="s">
        <v>14</v>
      </c>
      <c r="D13" s="8" t="s">
        <v>8</v>
      </c>
      <c r="E13" s="8" t="s">
        <v>9</v>
      </c>
      <c r="F13" s="14" t="s">
        <v>10</v>
      </c>
      <c r="G13" s="8" t="s">
        <v>11</v>
      </c>
      <c r="H13" s="15"/>
      <c r="I13" s="8" t="s">
        <v>12</v>
      </c>
      <c r="J13" s="8" t="s">
        <v>13</v>
      </c>
      <c r="K13" s="8" t="s">
        <v>14</v>
      </c>
      <c r="L13" s="8" t="s">
        <v>42</v>
      </c>
    </row>
    <row r="15" spans="1:12" ht="12.75">
      <c r="A15" s="3">
        <v>41730</v>
      </c>
      <c r="B15" s="16">
        <v>1483916594.13</v>
      </c>
      <c r="C15" s="16">
        <v>7607969.32</v>
      </c>
      <c r="D15" s="16">
        <f aca="true" t="shared" si="0" ref="D15:D26">+B15-C15-E15</f>
        <v>1407184336.4700003</v>
      </c>
      <c r="E15" s="16">
        <v>69124288.34</v>
      </c>
      <c r="F15" s="17">
        <f>150150/30</f>
        <v>5005</v>
      </c>
      <c r="G15" s="16">
        <f>E15/F15/30</f>
        <v>460.3682207126207</v>
      </c>
      <c r="I15" s="16">
        <v>30414686.89</v>
      </c>
      <c r="J15" s="16">
        <v>26267229.59</v>
      </c>
      <c r="K15" s="16">
        <v>5529943.06</v>
      </c>
      <c r="L15" s="16">
        <v>6912428.83</v>
      </c>
    </row>
    <row r="16" spans="1:12" ht="12.75">
      <c r="A16" s="3">
        <v>41760</v>
      </c>
      <c r="B16" s="16">
        <v>1533659775.88</v>
      </c>
      <c r="C16" s="16">
        <f>7931359.4-18054.9</f>
        <v>7913304.5</v>
      </c>
      <c r="D16" s="16">
        <f t="shared" si="0"/>
        <v>1454479480.97</v>
      </c>
      <c r="E16" s="16">
        <v>71266990.41</v>
      </c>
      <c r="F16" s="17">
        <f>155155/31</f>
        <v>5005</v>
      </c>
      <c r="G16" s="16">
        <f>E16/F16/31</f>
        <v>459.32770719602973</v>
      </c>
      <c r="I16" s="16">
        <v>31357475.77</v>
      </c>
      <c r="J16" s="16">
        <v>27081456.37</v>
      </c>
      <c r="K16" s="16">
        <v>5701359.21</v>
      </c>
      <c r="L16" s="16">
        <v>7126699.06</v>
      </c>
    </row>
    <row r="17" spans="1:12" ht="12.75">
      <c r="A17" s="3">
        <v>41791</v>
      </c>
      <c r="B17" s="16">
        <v>1418144494.07</v>
      </c>
      <c r="C17" s="16">
        <v>6828723.8</v>
      </c>
      <c r="D17" s="16">
        <f t="shared" si="0"/>
        <v>1346989631.4</v>
      </c>
      <c r="E17" s="16">
        <v>64326138.87</v>
      </c>
      <c r="F17" s="17">
        <f>149992/30</f>
        <v>4999.733333333334</v>
      </c>
      <c r="G17" s="16">
        <f>E17/F17/30</f>
        <v>428.8637985359219</v>
      </c>
      <c r="I17" s="16">
        <v>28303501.09</v>
      </c>
      <c r="J17" s="16">
        <v>24443932.78</v>
      </c>
      <c r="K17" s="16">
        <v>5146091.12</v>
      </c>
      <c r="L17" s="16">
        <v>6432613.91</v>
      </c>
    </row>
    <row r="18" spans="1:12" ht="12.75">
      <c r="A18" s="3">
        <v>41821</v>
      </c>
      <c r="B18" s="16">
        <v>1505933325</v>
      </c>
      <c r="C18" s="16">
        <f>7414395.37-39798.63</f>
        <v>7374596.74</v>
      </c>
      <c r="D18" s="16">
        <f t="shared" si="0"/>
        <v>1430789397.65</v>
      </c>
      <c r="E18" s="16">
        <v>67769330.61</v>
      </c>
      <c r="F18" s="17">
        <f>155093/31</f>
        <v>5003</v>
      </c>
      <c r="G18" s="16">
        <f>E18/F18/31</f>
        <v>436.95931221912014</v>
      </c>
      <c r="I18" s="16">
        <v>29818505.45</v>
      </c>
      <c r="J18" s="16">
        <v>25752345.62</v>
      </c>
      <c r="K18" s="16">
        <v>5421546.46</v>
      </c>
      <c r="L18" s="16">
        <v>6776933.06</v>
      </c>
    </row>
    <row r="19" spans="1:12" ht="12.75">
      <c r="A19" s="3">
        <v>41852</v>
      </c>
      <c r="B19" s="16">
        <v>1582677971.99</v>
      </c>
      <c r="C19" s="16">
        <v>8172192.79</v>
      </c>
      <c r="D19" s="16">
        <f t="shared" si="0"/>
        <v>1503613848.52</v>
      </c>
      <c r="E19" s="16">
        <v>70891930.68</v>
      </c>
      <c r="F19" s="17">
        <f>155093/31</f>
        <v>5003</v>
      </c>
      <c r="G19" s="16">
        <f>E19/F19/31</f>
        <v>457.09303888634565</v>
      </c>
      <c r="I19" s="16">
        <v>31192449.51</v>
      </c>
      <c r="J19" s="16">
        <v>26938933.68</v>
      </c>
      <c r="K19" s="16">
        <v>5671354.47</v>
      </c>
      <c r="L19" s="16">
        <v>7089193.09</v>
      </c>
    </row>
    <row r="20" spans="1:12" ht="12.75">
      <c r="A20" s="3">
        <v>41883</v>
      </c>
      <c r="B20" s="16">
        <v>1445914477.56</v>
      </c>
      <c r="C20" s="16">
        <v>7969184.92</v>
      </c>
      <c r="D20" s="16">
        <f t="shared" si="0"/>
        <v>1372948127.29</v>
      </c>
      <c r="E20" s="16">
        <v>64997165.35</v>
      </c>
      <c r="F20" s="17">
        <f>150090/30</f>
        <v>5003</v>
      </c>
      <c r="G20" s="16">
        <f>E20/F20/30</f>
        <v>433.05460290492374</v>
      </c>
      <c r="I20" s="16">
        <v>28598752.74</v>
      </c>
      <c r="J20" s="16">
        <v>24698922.81</v>
      </c>
      <c r="K20" s="16">
        <v>5199773.24</v>
      </c>
      <c r="L20" s="16">
        <v>6499716.57</v>
      </c>
    </row>
    <row r="21" spans="1:12" ht="12.75">
      <c r="A21" s="3">
        <v>41913</v>
      </c>
      <c r="B21" s="16">
        <v>1604871898.15</v>
      </c>
      <c r="C21" s="16">
        <f>9851420.07-36497.5</f>
        <v>9814922.57</v>
      </c>
      <c r="D21" s="16">
        <f t="shared" si="0"/>
        <v>1527399800.4</v>
      </c>
      <c r="E21" s="16">
        <v>67657175.18</v>
      </c>
      <c r="F21" s="17">
        <f>155093/31</f>
        <v>5003</v>
      </c>
      <c r="G21" s="16">
        <f>E21/F21/31</f>
        <v>436.23616268948314</v>
      </c>
      <c r="I21" s="16">
        <v>29769157.08</v>
      </c>
      <c r="J21" s="16">
        <v>25709726.58</v>
      </c>
      <c r="K21" s="16">
        <v>5412574.01</v>
      </c>
      <c r="L21" s="16">
        <v>6765717.53</v>
      </c>
    </row>
    <row r="22" spans="1:12" ht="12.75">
      <c r="A22" s="3">
        <v>41944</v>
      </c>
      <c r="B22" s="16">
        <v>1604820314.13</v>
      </c>
      <c r="C22" s="16">
        <f>8413637.6-38896.26</f>
        <v>8374741.34</v>
      </c>
      <c r="D22" s="16">
        <f t="shared" si="0"/>
        <v>1527751626.65</v>
      </c>
      <c r="E22" s="16">
        <v>68693946.14</v>
      </c>
      <c r="F22" s="17">
        <f>150090/30</f>
        <v>5003</v>
      </c>
      <c r="G22" s="16">
        <f>E22/F22/30</f>
        <v>457.6850299153841</v>
      </c>
      <c r="I22" s="16">
        <v>30225336.31</v>
      </c>
      <c r="J22" s="16">
        <v>26103699.55</v>
      </c>
      <c r="K22" s="16">
        <v>5495515.71</v>
      </c>
      <c r="L22" s="16">
        <v>6869394.63</v>
      </c>
    </row>
    <row r="23" spans="1:12" ht="12.75">
      <c r="A23" s="3">
        <v>41974</v>
      </c>
      <c r="B23" s="16">
        <v>1608870745.46</v>
      </c>
      <c r="C23" s="16">
        <v>7094510.1</v>
      </c>
      <c r="D23" s="16">
        <f t="shared" si="0"/>
        <v>1533389806.5000002</v>
      </c>
      <c r="E23" s="16">
        <v>68386428.86</v>
      </c>
      <c r="F23" s="17">
        <f>155093/31</f>
        <v>5003</v>
      </c>
      <c r="G23" s="16">
        <f>E23/F23/31</f>
        <v>440.93820391635984</v>
      </c>
      <c r="I23" s="16">
        <v>30090028.71</v>
      </c>
      <c r="J23" s="16">
        <v>25986842.99</v>
      </c>
      <c r="K23" s="16">
        <v>5470914.33</v>
      </c>
      <c r="L23" s="16">
        <v>6838642.88</v>
      </c>
    </row>
    <row r="24" spans="1:12" ht="12.75">
      <c r="A24" s="3">
        <v>42005</v>
      </c>
      <c r="B24" s="16">
        <v>1542065879.13</v>
      </c>
      <c r="C24" s="16">
        <v>7518671.26</v>
      </c>
      <c r="D24" s="16">
        <f t="shared" si="0"/>
        <v>1468055841.63</v>
      </c>
      <c r="E24" s="16">
        <v>66491366.24</v>
      </c>
      <c r="F24" s="17">
        <f>155093/31</f>
        <v>5003</v>
      </c>
      <c r="G24" s="16">
        <f>E24/F24/31</f>
        <v>428.71932479222147</v>
      </c>
      <c r="I24" s="16">
        <v>29256201.16</v>
      </c>
      <c r="J24" s="16">
        <v>25266719.19</v>
      </c>
      <c r="K24" s="16">
        <v>5319309.29</v>
      </c>
      <c r="L24" s="16">
        <v>6649136.62</v>
      </c>
    </row>
    <row r="25" spans="1:12" ht="12.75">
      <c r="A25" s="3">
        <v>42036</v>
      </c>
      <c r="B25" s="16">
        <v>1435062123.07</v>
      </c>
      <c r="C25" s="16">
        <f>8038911.22-0</f>
        <v>8038911.22</v>
      </c>
      <c r="D25" s="16">
        <f t="shared" si="0"/>
        <v>1362872052.8899999</v>
      </c>
      <c r="E25" s="16">
        <v>64151158.96</v>
      </c>
      <c r="F25" s="17">
        <f>140084/28</f>
        <v>5003</v>
      </c>
      <c r="G25" s="16">
        <f>E25/F25/28</f>
        <v>457.94779532280637</v>
      </c>
      <c r="I25" s="16">
        <v>28226509.95</v>
      </c>
      <c r="J25" s="16">
        <v>24377440.41</v>
      </c>
      <c r="K25" s="16">
        <v>5132092.71</v>
      </c>
      <c r="L25" s="16">
        <v>6415115.89</v>
      </c>
    </row>
    <row r="26" spans="1:12" ht="12.75">
      <c r="A26" s="3">
        <v>42064</v>
      </c>
      <c r="B26" s="16">
        <v>1644576899.02</v>
      </c>
      <c r="C26" s="16">
        <v>8870372.79</v>
      </c>
      <c r="D26" s="16">
        <f t="shared" si="0"/>
        <v>1563435878.55</v>
      </c>
      <c r="E26" s="16">
        <v>72270647.68</v>
      </c>
      <c r="F26" s="17">
        <f>155093/31</f>
        <v>5003</v>
      </c>
      <c r="G26" s="16">
        <f>E26/F26/31</f>
        <v>465.9826535046715</v>
      </c>
      <c r="I26" s="16">
        <v>31799084.96</v>
      </c>
      <c r="J26" s="16">
        <v>27462846.14</v>
      </c>
      <c r="K26" s="16">
        <v>5781651.82</v>
      </c>
      <c r="L26" s="16">
        <v>7227064.8</v>
      </c>
    </row>
    <row r="27" spans="1:12" ht="13.5" thickBot="1">
      <c r="A27" s="3" t="s">
        <v>15</v>
      </c>
      <c r="B27" s="18">
        <f>SUM(B15:B26)</f>
        <v>18410514497.59</v>
      </c>
      <c r="C27" s="18">
        <f>SUM(C15:C26)</f>
        <v>95578101.35</v>
      </c>
      <c r="D27" s="18">
        <f>SUM(D15:D26)</f>
        <v>17498909828.92</v>
      </c>
      <c r="E27" s="18">
        <f>SUM(E15:E26)</f>
        <v>816026567.3200002</v>
      </c>
      <c r="I27" s="18">
        <f>SUM(I15:I26)</f>
        <v>359051689.62</v>
      </c>
      <c r="J27" s="18">
        <f>SUM(J15:J26)</f>
        <v>310090095.71000004</v>
      </c>
      <c r="K27" s="18">
        <f>SUM(K15:K26)</f>
        <v>65282125.43</v>
      </c>
      <c r="L27" s="18">
        <f>SUM(L15:L26)</f>
        <v>81602656.87</v>
      </c>
    </row>
    <row r="28" spans="2:12" ht="10.5" customHeight="1" thickTop="1">
      <c r="B28" s="19"/>
      <c r="C28" s="19"/>
      <c r="D28" s="19"/>
      <c r="E28" s="19"/>
      <c r="I28" s="19"/>
      <c r="J28" s="19"/>
      <c r="K28" s="19"/>
      <c r="L28" s="19"/>
    </row>
    <row r="29" spans="1:12" s="22" customFormat="1" ht="12.75">
      <c r="A29" s="20"/>
      <c r="B29" s="21"/>
      <c r="C29" s="21">
        <f>C27/B27</f>
        <v>0.005191495401310566</v>
      </c>
      <c r="D29" s="21">
        <f>D27/B27</f>
        <v>0.9504845631125989</v>
      </c>
      <c r="E29" s="21">
        <f>E27/B27</f>
        <v>0.04432394148609051</v>
      </c>
      <c r="I29" s="21">
        <f>I27/$E$27</f>
        <v>0.43999999999901956</v>
      </c>
      <c r="J29" s="21">
        <f>J27/$E$27</f>
        <v>0.3800000001573478</v>
      </c>
      <c r="K29" s="21">
        <f>K27/$E$27</f>
        <v>0.08000000005440998</v>
      </c>
      <c r="L29" s="21">
        <f>L27/$E$27</f>
        <v>0.10000000016911213</v>
      </c>
    </row>
    <row r="31" spans="1:12" s="23" customFormat="1" ht="12.75">
      <c r="A31" s="113" t="s">
        <v>16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5"/>
    </row>
    <row r="32" ht="12.75">
      <c r="A32" s="24"/>
    </row>
    <row r="33" spans="1:12" s="37" customFormat="1" ht="12.75" customHeight="1">
      <c r="A33" s="33" t="s">
        <v>17</v>
      </c>
      <c r="B33" s="34"/>
      <c r="C33" s="46" t="s">
        <v>58</v>
      </c>
      <c r="D33" s="47"/>
      <c r="E33" s="47"/>
      <c r="F33" s="47"/>
      <c r="G33" s="47"/>
      <c r="H33" s="47"/>
      <c r="I33" s="47"/>
      <c r="J33" s="47"/>
      <c r="K33" s="47"/>
      <c r="L33" s="47"/>
    </row>
    <row r="34" spans="1:12" s="37" customFormat="1" ht="12.75" customHeight="1">
      <c r="A34" s="33"/>
      <c r="B34" s="34"/>
      <c r="C34" s="46" t="s">
        <v>59</v>
      </c>
      <c r="D34" s="47"/>
      <c r="E34" s="47"/>
      <c r="F34" s="47"/>
      <c r="G34" s="47"/>
      <c r="H34" s="47"/>
      <c r="I34" s="47"/>
      <c r="J34" s="47"/>
      <c r="K34" s="47"/>
      <c r="L34" s="47"/>
    </row>
    <row r="35" spans="1:12" ht="6" customHeight="1">
      <c r="A35" s="25"/>
      <c r="B35" s="26"/>
      <c r="C35" s="26"/>
      <c r="F35" s="26"/>
      <c r="G35" s="26"/>
      <c r="H35" s="26"/>
      <c r="I35" s="26"/>
      <c r="J35" s="26"/>
      <c r="K35" s="26"/>
      <c r="L35" s="26"/>
    </row>
    <row r="36" spans="1:13" ht="12.75">
      <c r="A36" s="25" t="s">
        <v>60</v>
      </c>
      <c r="B36" s="26"/>
      <c r="C36" s="26" t="s">
        <v>47</v>
      </c>
      <c r="F36" s="26"/>
      <c r="G36" s="26"/>
      <c r="H36" s="26"/>
      <c r="I36" s="26"/>
      <c r="J36" s="26"/>
      <c r="K36" s="26"/>
      <c r="L36" s="26"/>
      <c r="M36" s="26"/>
    </row>
    <row r="37" spans="1:12" ht="6" customHeight="1">
      <c r="A37" s="25"/>
      <c r="B37" s="26"/>
      <c r="C37" s="26"/>
      <c r="F37" s="26"/>
      <c r="G37" s="26"/>
      <c r="H37" s="26"/>
      <c r="I37" s="26"/>
      <c r="J37" s="26"/>
      <c r="K37" s="26"/>
      <c r="L37" s="26"/>
    </row>
    <row r="38" spans="1:12" ht="12.75">
      <c r="A38" s="25" t="s">
        <v>18</v>
      </c>
      <c r="B38" s="26"/>
      <c r="C38" s="46" t="s">
        <v>63</v>
      </c>
      <c r="F38" s="26"/>
      <c r="G38" s="26"/>
      <c r="H38" s="26"/>
      <c r="I38" s="26"/>
      <c r="J38" s="26"/>
      <c r="K38" s="26"/>
      <c r="L38" s="26"/>
    </row>
    <row r="39" spans="1:12" ht="6" customHeight="1">
      <c r="A39" s="25"/>
      <c r="B39" s="26"/>
      <c r="C39" s="26"/>
      <c r="F39" s="26"/>
      <c r="G39" s="26"/>
      <c r="H39" s="26"/>
      <c r="I39" s="26"/>
      <c r="J39" s="26"/>
      <c r="K39" s="26"/>
      <c r="L39" s="26"/>
    </row>
    <row r="40" spans="1:12" ht="12.75">
      <c r="A40" s="25" t="s">
        <v>20</v>
      </c>
      <c r="B40" s="26"/>
      <c r="C40" s="26" t="s">
        <v>21</v>
      </c>
      <c r="F40" s="27"/>
      <c r="G40" s="26"/>
      <c r="H40" s="26"/>
      <c r="I40" s="26"/>
      <c r="J40" s="26"/>
      <c r="K40" s="26"/>
      <c r="L40" s="26"/>
    </row>
    <row r="41" spans="1:12" ht="12.75">
      <c r="A41" s="25"/>
      <c r="B41" s="26"/>
      <c r="C41" s="26" t="s">
        <v>22</v>
      </c>
      <c r="F41" s="27"/>
      <c r="G41" s="26"/>
      <c r="H41" s="26"/>
      <c r="I41" s="26"/>
      <c r="J41" s="26"/>
      <c r="K41" s="26"/>
      <c r="L41" s="26"/>
    </row>
    <row r="42" spans="1:12" ht="6" customHeight="1">
      <c r="A42" s="25"/>
      <c r="B42" s="26"/>
      <c r="C42" s="26"/>
      <c r="F42" s="27"/>
      <c r="G42" s="26"/>
      <c r="H42" s="26"/>
      <c r="I42" s="26"/>
      <c r="J42" s="26"/>
      <c r="K42" s="26"/>
      <c r="L42" s="26"/>
    </row>
    <row r="43" spans="1:12" ht="12.75">
      <c r="A43" s="25" t="s">
        <v>23</v>
      </c>
      <c r="B43" s="26"/>
      <c r="C43" s="26" t="s">
        <v>24</v>
      </c>
      <c r="F43" s="27"/>
      <c r="G43" s="26"/>
      <c r="H43" s="26"/>
      <c r="I43" s="26"/>
      <c r="J43" s="26"/>
      <c r="K43" s="26"/>
      <c r="L43" s="26"/>
    </row>
    <row r="44" spans="1:12" ht="6" customHeight="1">
      <c r="A44" s="25"/>
      <c r="B44" s="26"/>
      <c r="C44" s="26"/>
      <c r="D44" s="26"/>
      <c r="F44" s="27"/>
      <c r="G44" s="26"/>
      <c r="H44" s="26"/>
      <c r="I44" s="26"/>
      <c r="J44" s="26"/>
      <c r="K44" s="26"/>
      <c r="L44" s="26"/>
    </row>
    <row r="45" spans="1:12" s="37" customFormat="1" ht="12.75">
      <c r="A45" s="33" t="s">
        <v>30</v>
      </c>
      <c r="B45" s="34"/>
      <c r="C45" s="34" t="s">
        <v>31</v>
      </c>
      <c r="D45" s="35"/>
      <c r="E45" s="36"/>
      <c r="F45" s="34"/>
      <c r="G45" s="34"/>
      <c r="H45" s="34"/>
      <c r="I45" s="34"/>
      <c r="J45" s="34"/>
      <c r="K45" s="34"/>
      <c r="L45" s="34"/>
    </row>
    <row r="46" spans="1:12" s="37" customFormat="1" ht="12.75">
      <c r="A46" s="33"/>
      <c r="B46" s="34"/>
      <c r="C46" s="34" t="s">
        <v>43</v>
      </c>
      <c r="D46" s="35"/>
      <c r="E46" s="36"/>
      <c r="F46" s="34"/>
      <c r="G46" s="34"/>
      <c r="H46" s="34"/>
      <c r="I46" s="34"/>
      <c r="J46" s="34"/>
      <c r="K46" s="34"/>
      <c r="L46" s="34"/>
    </row>
    <row r="47" spans="1:12" s="37" customFormat="1" ht="12.75">
      <c r="A47" s="33"/>
      <c r="B47" s="34"/>
      <c r="C47" s="34" t="s">
        <v>44</v>
      </c>
      <c r="D47" s="35"/>
      <c r="E47" s="36"/>
      <c r="F47" s="34"/>
      <c r="G47" s="34"/>
      <c r="H47" s="34"/>
      <c r="I47" s="34"/>
      <c r="J47" s="34"/>
      <c r="K47" s="34"/>
      <c r="L47" s="34"/>
    </row>
    <row r="48" spans="1:12" ht="6" customHeight="1">
      <c r="A48" s="25"/>
      <c r="B48" s="26"/>
      <c r="C48" s="26"/>
      <c r="D48" s="26"/>
      <c r="F48" s="27"/>
      <c r="G48" s="26"/>
      <c r="H48" s="26"/>
      <c r="I48" s="26"/>
      <c r="J48" s="26"/>
      <c r="K48" s="26"/>
      <c r="L48" s="26"/>
    </row>
    <row r="49" spans="1:12" s="37" customFormat="1" ht="12.75">
      <c r="A49" s="33" t="s">
        <v>25</v>
      </c>
      <c r="B49" s="34"/>
      <c r="C49" s="34" t="s">
        <v>32</v>
      </c>
      <c r="D49" s="35"/>
      <c r="E49" s="36"/>
      <c r="F49" s="34"/>
      <c r="G49" s="34"/>
      <c r="H49" s="34"/>
      <c r="I49" s="34"/>
      <c r="J49" s="34"/>
      <c r="K49" s="34"/>
      <c r="L49" s="34"/>
    </row>
    <row r="50" spans="1:12" s="37" customFormat="1" ht="12.75">
      <c r="A50" s="33"/>
      <c r="B50" s="34"/>
      <c r="C50" s="34" t="s">
        <v>33</v>
      </c>
      <c r="D50" s="35"/>
      <c r="E50" s="36"/>
      <c r="F50" s="34"/>
      <c r="G50" s="34"/>
      <c r="H50" s="34"/>
      <c r="I50" s="34"/>
      <c r="J50" s="34"/>
      <c r="K50" s="34"/>
      <c r="L50" s="34"/>
    </row>
    <row r="51" spans="1:12" ht="6" customHeight="1">
      <c r="A51" s="25"/>
      <c r="B51" s="26"/>
      <c r="C51" s="26"/>
      <c r="F51" s="27"/>
      <c r="G51" s="26"/>
      <c r="H51" s="26"/>
      <c r="I51" s="26"/>
      <c r="J51" s="26"/>
      <c r="K51" s="26"/>
      <c r="L51" s="26"/>
    </row>
    <row r="52" spans="1:12" s="37" customFormat="1" ht="12.75">
      <c r="A52" s="33" t="s">
        <v>46</v>
      </c>
      <c r="B52" s="34"/>
      <c r="C52" s="34" t="s">
        <v>34</v>
      </c>
      <c r="D52" s="35"/>
      <c r="E52" s="36"/>
      <c r="F52" s="34"/>
      <c r="G52" s="34"/>
      <c r="H52" s="34"/>
      <c r="I52" s="34"/>
      <c r="J52" s="34"/>
      <c r="K52" s="34"/>
      <c r="L52" s="34"/>
    </row>
    <row r="53" spans="1:12" s="37" customFormat="1" ht="12.75">
      <c r="A53" s="38"/>
      <c r="B53" s="34"/>
      <c r="C53" s="34" t="s">
        <v>35</v>
      </c>
      <c r="D53" s="35"/>
      <c r="E53" s="36"/>
      <c r="F53" s="34"/>
      <c r="G53" s="34"/>
      <c r="H53" s="34"/>
      <c r="I53" s="34"/>
      <c r="J53" s="34"/>
      <c r="K53" s="34"/>
      <c r="L53" s="34"/>
    </row>
    <row r="54" spans="1:12" ht="12.75">
      <c r="A54" s="28"/>
      <c r="B54" s="29"/>
      <c r="C54" s="29"/>
      <c r="D54" s="29"/>
      <c r="E54" s="29"/>
      <c r="F54" s="30"/>
      <c r="G54" s="29"/>
      <c r="H54" s="29"/>
      <c r="I54" s="29"/>
      <c r="J54" s="29"/>
      <c r="K54" s="29"/>
      <c r="L54" s="29"/>
    </row>
    <row r="55" spans="1:12" s="23" customFormat="1" ht="12.75">
      <c r="A55" s="113" t="s">
        <v>26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5"/>
    </row>
    <row r="56" ht="12.75">
      <c r="A56" s="24"/>
    </row>
    <row r="57" spans="1:12" ht="13.5">
      <c r="A57" s="31"/>
      <c r="B57" s="42"/>
      <c r="D57" s="43" t="s">
        <v>4</v>
      </c>
      <c r="E57" s="116" t="s">
        <v>48</v>
      </c>
      <c r="F57" s="116"/>
      <c r="G57" s="116"/>
      <c r="H57" s="116"/>
      <c r="I57" s="116"/>
      <c r="J57" s="116"/>
      <c r="K57" s="43" t="s">
        <v>5</v>
      </c>
      <c r="L57" s="43" t="s">
        <v>41</v>
      </c>
    </row>
    <row r="58" spans="1:12" ht="12.75">
      <c r="A58" s="32"/>
      <c r="B58" s="42"/>
      <c r="D58" s="44" t="s">
        <v>12</v>
      </c>
      <c r="E58" s="44" t="s">
        <v>49</v>
      </c>
      <c r="F58" s="44" t="s">
        <v>50</v>
      </c>
      <c r="G58" s="44" t="s">
        <v>51</v>
      </c>
      <c r="H58" s="45"/>
      <c r="I58" s="44" t="s">
        <v>53</v>
      </c>
      <c r="J58" s="44" t="s">
        <v>52</v>
      </c>
      <c r="K58" s="44" t="s">
        <v>14</v>
      </c>
      <c r="L58" s="44" t="s">
        <v>42</v>
      </c>
    </row>
    <row r="59" spans="1:12" ht="12.75">
      <c r="A59" s="24" t="s">
        <v>54</v>
      </c>
      <c r="B59" s="39"/>
      <c r="D59" s="40">
        <v>0.44</v>
      </c>
      <c r="E59" s="40">
        <v>0.235</v>
      </c>
      <c r="F59" s="40">
        <v>0.065</v>
      </c>
      <c r="G59" s="40">
        <v>0.01</v>
      </c>
      <c r="H59" s="41"/>
      <c r="I59" s="40">
        <v>0.03</v>
      </c>
      <c r="J59" s="40">
        <v>0.04</v>
      </c>
      <c r="K59" s="40">
        <v>0.08</v>
      </c>
      <c r="L59" s="40">
        <v>0.1</v>
      </c>
    </row>
    <row r="60" spans="1:12" ht="12.75">
      <c r="A60" s="24" t="s">
        <v>55</v>
      </c>
      <c r="B60" s="39"/>
      <c r="D60" s="40">
        <v>0.44</v>
      </c>
      <c r="E60" s="40">
        <v>0.2275</v>
      </c>
      <c r="F60" s="40">
        <v>0.07</v>
      </c>
      <c r="G60" s="40">
        <v>0.0125</v>
      </c>
      <c r="H60" s="41"/>
      <c r="I60" s="40">
        <v>0.03</v>
      </c>
      <c r="J60" s="40">
        <v>0.04</v>
      </c>
      <c r="K60" s="40">
        <v>0.08</v>
      </c>
      <c r="L60" s="40">
        <v>0.1</v>
      </c>
    </row>
    <row r="61" spans="1:12" ht="12.75">
      <c r="A61" s="24" t="s">
        <v>56</v>
      </c>
      <c r="B61" s="39"/>
      <c r="D61" s="40">
        <v>0.44</v>
      </c>
      <c r="E61" s="40">
        <v>0.22</v>
      </c>
      <c r="F61" s="40">
        <v>0.075</v>
      </c>
      <c r="G61" s="40">
        <v>0.015</v>
      </c>
      <c r="H61" s="41"/>
      <c r="I61" s="40">
        <v>0.03</v>
      </c>
      <c r="J61" s="40">
        <v>0.04</v>
      </c>
      <c r="K61" s="40">
        <v>0.08</v>
      </c>
      <c r="L61" s="40">
        <v>0.1</v>
      </c>
    </row>
    <row r="62" spans="2:12" ht="12.75">
      <c r="B62" s="39"/>
      <c r="D62" s="40"/>
      <c r="E62" s="40"/>
      <c r="F62" s="40"/>
      <c r="G62" s="40"/>
      <c r="H62" s="41"/>
      <c r="I62" s="40"/>
      <c r="J62" s="40"/>
      <c r="K62" s="40"/>
      <c r="L62" s="40"/>
    </row>
    <row r="64" ht="12.75">
      <c r="A64" s="48" t="s">
        <v>61</v>
      </c>
    </row>
  </sheetData>
  <sheetProtection/>
  <mergeCells count="10">
    <mergeCell ref="I10:L10"/>
    <mergeCell ref="A31:L31"/>
    <mergeCell ref="A55:L55"/>
    <mergeCell ref="E57:J57"/>
    <mergeCell ref="A1:L1"/>
    <mergeCell ref="A2:L2"/>
    <mergeCell ref="A3:L3"/>
    <mergeCell ref="A4:L4"/>
    <mergeCell ref="A5:L5"/>
    <mergeCell ref="A8:L8"/>
  </mergeCells>
  <hyperlinks>
    <hyperlink ref="A4" r:id="rId1" display="www.rwnewyork.com"/>
  </hyperlinks>
  <printOptions/>
  <pageMargins left="0.25" right="0.25" top="0.75" bottom="0.5" header="0.5" footer="0.5"/>
  <pageSetup fitToHeight="1" fitToWidth="1" horizontalDpi="600" verticalDpi="600" orientation="portrait" scale="76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9.28125" style="3" customWidth="1"/>
    <col min="2" max="2" width="15.421875" style="16" bestFit="1" customWidth="1"/>
    <col min="3" max="3" width="13.421875" style="16" customWidth="1"/>
    <col min="4" max="4" width="15.421875" style="16" bestFit="1" customWidth="1"/>
    <col min="5" max="5" width="12.7109375" style="16" customWidth="1"/>
    <col min="6" max="6" width="8.28125" style="17" bestFit="1" customWidth="1"/>
    <col min="7" max="7" width="10.7109375" style="16" customWidth="1"/>
    <col min="8" max="8" width="1.421875" style="16" customWidth="1"/>
    <col min="9" max="10" width="12.7109375" style="16" bestFit="1" customWidth="1"/>
    <col min="11" max="11" width="12.00390625" style="16" customWidth="1"/>
    <col min="12" max="12" width="12.28125" style="16" customWidth="1"/>
    <col min="13" max="13" width="12.7109375" style="0" customWidth="1"/>
  </cols>
  <sheetData>
    <row r="1" spans="1:12" ht="18">
      <c r="A1" s="117" t="s">
        <v>45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15">
      <c r="A2" s="118" t="s">
        <v>36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s="1" customFormat="1" ht="15">
      <c r="A3" s="118" t="s">
        <v>37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s="1" customFormat="1" ht="15">
      <c r="A4" s="109" t="s">
        <v>38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s="1" customFormat="1" ht="14.25">
      <c r="A5" s="119" t="s">
        <v>39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s="1" customFormat="1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s="1" customFormat="1" ht="12.75">
      <c r="A7" s="3"/>
      <c r="B7" s="4"/>
      <c r="C7" s="4"/>
      <c r="D7" s="4"/>
      <c r="E7" s="5"/>
      <c r="F7" s="6"/>
      <c r="G7" s="5"/>
      <c r="H7" s="5"/>
      <c r="I7" s="5"/>
      <c r="J7" s="5"/>
      <c r="K7" s="5"/>
      <c r="L7" s="5"/>
    </row>
    <row r="8" spans="1:12" s="7" customFormat="1" ht="14.25" customHeight="1">
      <c r="A8" s="113" t="s">
        <v>62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5"/>
    </row>
    <row r="9" spans="1:12" s="1" customFormat="1" ht="9" customHeight="1">
      <c r="A9" s="3"/>
      <c r="B9" s="4"/>
      <c r="C9" s="4"/>
      <c r="D9" s="4"/>
      <c r="E9" s="5"/>
      <c r="F9" s="6"/>
      <c r="G9" s="5"/>
      <c r="H9" s="5"/>
      <c r="I9" s="5"/>
      <c r="J9" s="5"/>
      <c r="K9" s="5"/>
      <c r="L9" s="5"/>
    </row>
    <row r="10" spans="1:12" s="1" customFormat="1" ht="12.75">
      <c r="A10" s="3"/>
      <c r="B10" s="5"/>
      <c r="C10" s="5"/>
      <c r="D10" s="5"/>
      <c r="E10" s="5"/>
      <c r="F10" s="6"/>
      <c r="G10" s="5"/>
      <c r="H10" s="5"/>
      <c r="I10" s="112" t="s">
        <v>0</v>
      </c>
      <c r="J10" s="112"/>
      <c r="K10" s="112"/>
      <c r="L10" s="112"/>
    </row>
    <row r="11" spans="1:12" s="1" customFormat="1" ht="7.5" customHeight="1">
      <c r="A11" s="3"/>
      <c r="B11" s="5"/>
      <c r="C11" s="5"/>
      <c r="D11" s="5"/>
      <c r="E11" s="5"/>
      <c r="F11" s="6"/>
      <c r="G11" s="5"/>
      <c r="H11" s="5"/>
      <c r="I11" s="5"/>
      <c r="J11" s="5"/>
      <c r="K11" s="5"/>
      <c r="L11" s="5"/>
    </row>
    <row r="12" spans="1:12" s="12" customFormat="1" ht="12">
      <c r="A12" s="9"/>
      <c r="B12" s="10" t="s">
        <v>1</v>
      </c>
      <c r="C12" s="10" t="s">
        <v>29</v>
      </c>
      <c r="D12" s="10" t="s">
        <v>1</v>
      </c>
      <c r="E12" s="10"/>
      <c r="F12" s="11" t="s">
        <v>2</v>
      </c>
      <c r="G12" s="10" t="s">
        <v>3</v>
      </c>
      <c r="H12" s="10"/>
      <c r="I12" s="10" t="s">
        <v>4</v>
      </c>
      <c r="J12" s="10" t="s">
        <v>40</v>
      </c>
      <c r="K12" s="10" t="s">
        <v>5</v>
      </c>
      <c r="L12" s="10" t="s">
        <v>41</v>
      </c>
    </row>
    <row r="13" spans="1:12" s="12" customFormat="1" ht="12">
      <c r="A13" s="13" t="s">
        <v>6</v>
      </c>
      <c r="B13" s="8" t="s">
        <v>7</v>
      </c>
      <c r="C13" s="8" t="s">
        <v>14</v>
      </c>
      <c r="D13" s="8" t="s">
        <v>8</v>
      </c>
      <c r="E13" s="8" t="s">
        <v>9</v>
      </c>
      <c r="F13" s="14" t="s">
        <v>10</v>
      </c>
      <c r="G13" s="8" t="s">
        <v>11</v>
      </c>
      <c r="H13" s="15"/>
      <c r="I13" s="8" t="s">
        <v>12</v>
      </c>
      <c r="J13" s="8" t="s">
        <v>13</v>
      </c>
      <c r="K13" s="8" t="s">
        <v>14</v>
      </c>
      <c r="L13" s="8" t="s">
        <v>42</v>
      </c>
    </row>
    <row r="15" spans="1:12" ht="12.75">
      <c r="A15" s="3">
        <v>41365</v>
      </c>
      <c r="B15" s="16">
        <v>1408345556.96</v>
      </c>
      <c r="C15" s="16">
        <v>6482109.83</v>
      </c>
      <c r="D15" s="16">
        <f aca="true" t="shared" si="0" ref="D15:D26">+B15-C15-E15</f>
        <v>1334795781.8400002</v>
      </c>
      <c r="E15" s="16">
        <v>67067665.29</v>
      </c>
      <c r="F15" s="17">
        <f>150090/30</f>
        <v>5003</v>
      </c>
      <c r="G15" s="16">
        <f>E15/F15/30</f>
        <v>446.8496588047172</v>
      </c>
      <c r="I15" s="16">
        <v>29509772.74</v>
      </c>
      <c r="J15" s="16">
        <v>25485712.78</v>
      </c>
      <c r="K15" s="16">
        <v>5365413.24</v>
      </c>
      <c r="L15" s="16">
        <v>6706766.56</v>
      </c>
    </row>
    <row r="16" spans="1:12" ht="12.75">
      <c r="A16" s="3">
        <v>41395</v>
      </c>
      <c r="B16" s="16">
        <v>1462284576.24</v>
      </c>
      <c r="C16" s="16">
        <f>6848590.62-18510.06</f>
        <v>6830080.5600000005</v>
      </c>
      <c r="D16" s="16">
        <f t="shared" si="0"/>
        <v>1386966363.63</v>
      </c>
      <c r="E16" s="16">
        <v>68488132.05</v>
      </c>
      <c r="F16" s="17">
        <f>155129/31</f>
        <v>5004.1612903225805</v>
      </c>
      <c r="G16" s="16">
        <f>E16/F16/31</f>
        <v>441.49148160563146</v>
      </c>
      <c r="I16" s="16">
        <v>30134778.1</v>
      </c>
      <c r="J16" s="16">
        <v>26025490.2</v>
      </c>
      <c r="K16" s="16">
        <v>5479050.58</v>
      </c>
      <c r="L16" s="16">
        <v>6848813.23</v>
      </c>
    </row>
    <row r="17" spans="1:12" ht="12.75">
      <c r="A17" s="3">
        <v>41426</v>
      </c>
      <c r="B17" s="16">
        <v>1408669826.13</v>
      </c>
      <c r="C17" s="16">
        <v>6969677.58</v>
      </c>
      <c r="D17" s="16">
        <f t="shared" si="0"/>
        <v>1335561422.3200002</v>
      </c>
      <c r="E17" s="16">
        <v>66138726.23</v>
      </c>
      <c r="F17" s="17">
        <f>150150/30</f>
        <v>5005</v>
      </c>
      <c r="G17" s="16">
        <f>E17/F17/30</f>
        <v>440.4843571761572</v>
      </c>
      <c r="I17" s="16">
        <v>29101039.54</v>
      </c>
      <c r="J17" s="16">
        <v>25132715.97</v>
      </c>
      <c r="K17" s="16">
        <v>5291098.1</v>
      </c>
      <c r="L17" s="16">
        <v>6613872.63</v>
      </c>
    </row>
    <row r="18" spans="1:12" ht="12.75">
      <c r="A18" s="3">
        <v>41456</v>
      </c>
      <c r="B18" s="16">
        <v>1447359531.71</v>
      </c>
      <c r="C18" s="16">
        <v>6681774.29</v>
      </c>
      <c r="D18" s="16">
        <f t="shared" si="0"/>
        <v>1372989013.91</v>
      </c>
      <c r="E18" s="16">
        <v>67688743.51</v>
      </c>
      <c r="F18" s="17">
        <f>155155/31</f>
        <v>5005</v>
      </c>
      <c r="G18" s="16">
        <f>E18/F18/31</f>
        <v>436.2653057265316</v>
      </c>
      <c r="I18" s="16">
        <v>29783047.16</v>
      </c>
      <c r="J18" s="16">
        <v>25721722.55</v>
      </c>
      <c r="K18" s="16">
        <v>5415099.48</v>
      </c>
      <c r="L18" s="16">
        <v>6768874.36</v>
      </c>
    </row>
    <row r="19" spans="1:12" ht="12.75">
      <c r="A19" s="3">
        <v>41487</v>
      </c>
      <c r="B19" s="16">
        <v>1466905780.2</v>
      </c>
      <c r="C19" s="16">
        <v>6806872.65</v>
      </c>
      <c r="D19" s="16">
        <f t="shared" si="0"/>
        <v>1390195291.49</v>
      </c>
      <c r="E19" s="16">
        <v>69903616.06</v>
      </c>
      <c r="F19" s="17">
        <f>155155/31</f>
        <v>5005</v>
      </c>
      <c r="G19" s="16">
        <f>E19/F19/31</f>
        <v>450.54053082401475</v>
      </c>
      <c r="I19" s="16">
        <v>30757591.05</v>
      </c>
      <c r="J19" s="16">
        <v>26563374.08</v>
      </c>
      <c r="K19" s="16">
        <v>5592289.3</v>
      </c>
      <c r="L19" s="16">
        <v>6990361.62</v>
      </c>
    </row>
    <row r="20" spans="1:12" ht="12.75">
      <c r="A20" s="3">
        <v>41518</v>
      </c>
      <c r="B20" s="16">
        <v>1399029847.96</v>
      </c>
      <c r="C20" s="16">
        <f>6860209.19-19551.84</f>
        <v>6840657.350000001</v>
      </c>
      <c r="D20" s="16">
        <f t="shared" si="0"/>
        <v>1327381672.8600001</v>
      </c>
      <c r="E20" s="16">
        <v>64807517.75</v>
      </c>
      <c r="F20" s="17">
        <f>150150/30</f>
        <v>5005</v>
      </c>
      <c r="G20" s="16">
        <f>E20/F20/30</f>
        <v>431.61849983349987</v>
      </c>
      <c r="I20" s="16">
        <v>28515307.8</v>
      </c>
      <c r="J20" s="16">
        <v>24626856.71</v>
      </c>
      <c r="K20" s="16">
        <v>5184601.43</v>
      </c>
      <c r="L20" s="16">
        <v>6480751.77</v>
      </c>
    </row>
    <row r="21" spans="1:12" ht="12.75">
      <c r="A21" s="3">
        <v>41548</v>
      </c>
      <c r="B21" s="16">
        <v>1477238118.14</v>
      </c>
      <c r="C21" s="16">
        <f>6165975.47-201732</f>
        <v>5964243.47</v>
      </c>
      <c r="D21" s="16">
        <f t="shared" si="0"/>
        <v>1405303567.3400002</v>
      </c>
      <c r="E21" s="16">
        <v>65970307.33</v>
      </c>
      <c r="F21" s="17">
        <f>155155/31</f>
        <v>5005</v>
      </c>
      <c r="G21" s="16">
        <f>E21/F21/31</f>
        <v>425.1896963036963</v>
      </c>
      <c r="I21" s="16">
        <v>29026935.24</v>
      </c>
      <c r="J21" s="16">
        <v>25068716.76</v>
      </c>
      <c r="K21" s="16">
        <v>5277624.58</v>
      </c>
      <c r="L21" s="16">
        <v>6597030.72</v>
      </c>
    </row>
    <row r="22" spans="1:12" ht="12.75">
      <c r="A22" s="3">
        <v>41579</v>
      </c>
      <c r="B22" s="16">
        <v>1419528431.3</v>
      </c>
      <c r="C22" s="16">
        <f>5330558.96-52757.51</f>
        <v>5277801.45</v>
      </c>
      <c r="D22" s="16">
        <f t="shared" si="0"/>
        <v>1351069448.28</v>
      </c>
      <c r="E22" s="16">
        <v>63181181.57</v>
      </c>
      <c r="F22" s="17">
        <f>150150/30</f>
        <v>5005</v>
      </c>
      <c r="G22" s="16">
        <f>E22/F22/30</f>
        <v>420.78709004329005</v>
      </c>
      <c r="I22" s="16">
        <v>27799719.87</v>
      </c>
      <c r="J22" s="16">
        <v>24008848.98</v>
      </c>
      <c r="K22" s="16">
        <v>5054494.51</v>
      </c>
      <c r="L22" s="16">
        <v>6318118.14</v>
      </c>
    </row>
    <row r="23" spans="1:12" ht="12.75">
      <c r="A23" s="3">
        <v>41609</v>
      </c>
      <c r="B23" s="16">
        <v>1423177873.15</v>
      </c>
      <c r="C23" s="16">
        <v>5517370.49</v>
      </c>
      <c r="D23" s="16">
        <f t="shared" si="0"/>
        <v>1353202813.69</v>
      </c>
      <c r="E23" s="16">
        <v>64457688.97</v>
      </c>
      <c r="F23" s="17">
        <f>155155/31</f>
        <v>5005</v>
      </c>
      <c r="G23" s="16">
        <f>E23/F23/31</f>
        <v>415.44061725371404</v>
      </c>
      <c r="I23" s="16">
        <v>28361383.14</v>
      </c>
      <c r="J23" s="16">
        <v>24493921.84</v>
      </c>
      <c r="K23" s="16">
        <v>5156615.12</v>
      </c>
      <c r="L23" s="16">
        <v>6445768.91</v>
      </c>
    </row>
    <row r="24" spans="1:12" ht="12.75">
      <c r="A24" s="3">
        <v>41640</v>
      </c>
      <c r="B24" s="16">
        <v>1367843905.37</v>
      </c>
      <c r="C24" s="16">
        <v>5423599.49</v>
      </c>
      <c r="D24" s="16">
        <f t="shared" si="0"/>
        <v>1301722857.32</v>
      </c>
      <c r="E24" s="16">
        <v>60697448.56</v>
      </c>
      <c r="F24" s="17">
        <f>155051/31</f>
        <v>5001.645161290323</v>
      </c>
      <c r="G24" s="16">
        <f>E24/F24/31</f>
        <v>391.46763684207133</v>
      </c>
      <c r="I24" s="16">
        <v>26706877.35</v>
      </c>
      <c r="J24" s="16">
        <v>23065030.47</v>
      </c>
      <c r="K24" s="16">
        <v>4855795.89</v>
      </c>
      <c r="L24" s="16">
        <v>6069744.83</v>
      </c>
    </row>
    <row r="25" spans="1:12" ht="12.75">
      <c r="A25" s="3">
        <v>41671</v>
      </c>
      <c r="B25" s="16">
        <v>1323527484.33</v>
      </c>
      <c r="C25" s="16">
        <v>5734293.84</v>
      </c>
      <c r="D25" s="16">
        <f t="shared" si="0"/>
        <v>1257163676.64</v>
      </c>
      <c r="E25" s="16">
        <v>60629513.85</v>
      </c>
      <c r="F25" s="17">
        <f>140140/28</f>
        <v>5005</v>
      </c>
      <c r="G25" s="16">
        <f>E25/F25/28</f>
        <v>432.63532075067786</v>
      </c>
      <c r="I25" s="16">
        <v>26676986.11</v>
      </c>
      <c r="J25" s="16">
        <v>23039215.27</v>
      </c>
      <c r="K25" s="16">
        <v>4850361.13</v>
      </c>
      <c r="L25" s="16">
        <v>6062951.39</v>
      </c>
    </row>
    <row r="26" spans="1:12" ht="12.75">
      <c r="A26" s="3">
        <v>41699</v>
      </c>
      <c r="B26" s="16">
        <v>1571221610.11</v>
      </c>
      <c r="C26" s="16">
        <v>8090549.02</v>
      </c>
      <c r="D26" s="16">
        <f t="shared" si="0"/>
        <v>1489582613.37</v>
      </c>
      <c r="E26" s="16">
        <v>73548447.72</v>
      </c>
      <c r="F26" s="17">
        <f>155155/31</f>
        <v>5005</v>
      </c>
      <c r="G26" s="16">
        <f>E26/F26/31</f>
        <v>474.03208224034034</v>
      </c>
      <c r="I26" s="16">
        <v>32361317.01</v>
      </c>
      <c r="J26" s="16">
        <v>27948410.15</v>
      </c>
      <c r="K26" s="16">
        <v>5883875.8</v>
      </c>
      <c r="L26" s="16">
        <v>7354844.78</v>
      </c>
    </row>
    <row r="27" spans="1:12" ht="13.5" thickBot="1">
      <c r="A27" s="3" t="s">
        <v>15</v>
      </c>
      <c r="B27" s="18">
        <f>SUM(B15:B26)</f>
        <v>17175132541.6</v>
      </c>
      <c r="C27" s="18">
        <f>SUM(C15:C26)</f>
        <v>76619030.02</v>
      </c>
      <c r="D27" s="18">
        <f>SUM(D15:D26)</f>
        <v>16305934522.690002</v>
      </c>
      <c r="E27" s="18">
        <f>SUM(E15:E26)</f>
        <v>792578988.89</v>
      </c>
      <c r="I27" s="18">
        <f>SUM(I15:I26)</f>
        <v>348734755.1100001</v>
      </c>
      <c r="J27" s="18">
        <f>SUM(J15:J26)</f>
        <v>301180015.75999993</v>
      </c>
      <c r="K27" s="18">
        <f>SUM(K15:K26)</f>
        <v>63406319.16</v>
      </c>
      <c r="L27" s="18">
        <f>SUM(L15:L26)</f>
        <v>79257898.94</v>
      </c>
    </row>
    <row r="28" spans="2:12" ht="10.5" customHeight="1" thickTop="1">
      <c r="B28" s="19"/>
      <c r="C28" s="19"/>
      <c r="D28" s="19"/>
      <c r="E28" s="19"/>
      <c r="I28" s="19"/>
      <c r="J28" s="19"/>
      <c r="K28" s="19"/>
      <c r="L28" s="19"/>
    </row>
    <row r="29" spans="1:12" s="22" customFormat="1" ht="12.75">
      <c r="A29" s="20"/>
      <c r="B29" s="21"/>
      <c r="C29" s="21">
        <f>C27/B27</f>
        <v>0.004461044468473273</v>
      </c>
      <c r="D29" s="21">
        <f>D27/B27</f>
        <v>0.9493920633913766</v>
      </c>
      <c r="E29" s="21">
        <f>E27/B27</f>
        <v>0.04614689214015026</v>
      </c>
      <c r="I29" s="21">
        <f>I27/$E$27</f>
        <v>0.4399999999979814</v>
      </c>
      <c r="J29" s="21">
        <f>J27/$E$27</f>
        <v>0.37999999997703693</v>
      </c>
      <c r="K29" s="21">
        <f>K27/$E$27</f>
        <v>0.08000000006157115</v>
      </c>
      <c r="L29" s="21">
        <f>L27/$E$27</f>
        <v>0.1000000000643469</v>
      </c>
    </row>
    <row r="31" spans="1:12" s="23" customFormat="1" ht="12.75">
      <c r="A31" s="113" t="s">
        <v>16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5"/>
    </row>
    <row r="32" ht="12.75">
      <c r="A32" s="24"/>
    </row>
    <row r="33" spans="1:12" s="37" customFormat="1" ht="12.75" customHeight="1">
      <c r="A33" s="33" t="s">
        <v>17</v>
      </c>
      <c r="B33" s="34"/>
      <c r="C33" s="46" t="s">
        <v>58</v>
      </c>
      <c r="D33" s="47"/>
      <c r="E33" s="47"/>
      <c r="F33" s="47"/>
      <c r="G33" s="47"/>
      <c r="H33" s="47"/>
      <c r="I33" s="47"/>
      <c r="J33" s="47"/>
      <c r="K33" s="47"/>
      <c r="L33" s="47"/>
    </row>
    <row r="34" spans="1:12" s="37" customFormat="1" ht="12.75" customHeight="1">
      <c r="A34" s="33"/>
      <c r="B34" s="34"/>
      <c r="C34" s="46" t="s">
        <v>59</v>
      </c>
      <c r="D34" s="47"/>
      <c r="E34" s="47"/>
      <c r="F34" s="47"/>
      <c r="G34" s="47"/>
      <c r="H34" s="47"/>
      <c r="I34" s="47"/>
      <c r="J34" s="47"/>
      <c r="K34" s="47"/>
      <c r="L34" s="47"/>
    </row>
    <row r="35" spans="1:12" ht="6" customHeight="1">
      <c r="A35" s="25"/>
      <c r="B35" s="26"/>
      <c r="C35" s="26"/>
      <c r="F35" s="26"/>
      <c r="G35" s="26"/>
      <c r="H35" s="26"/>
      <c r="I35" s="26"/>
      <c r="J35" s="26"/>
      <c r="K35" s="26"/>
      <c r="L35" s="26"/>
    </row>
    <row r="36" spans="1:13" ht="12.75">
      <c r="A36" s="25" t="s">
        <v>60</v>
      </c>
      <c r="B36" s="26"/>
      <c r="C36" s="26" t="s">
        <v>47</v>
      </c>
      <c r="F36" s="26"/>
      <c r="G36" s="26"/>
      <c r="H36" s="26"/>
      <c r="I36" s="26"/>
      <c r="J36" s="26"/>
      <c r="K36" s="26"/>
      <c r="L36" s="26"/>
      <c r="M36" s="26"/>
    </row>
    <row r="37" spans="1:12" ht="6" customHeight="1">
      <c r="A37" s="25"/>
      <c r="B37" s="26"/>
      <c r="C37" s="26"/>
      <c r="F37" s="26"/>
      <c r="G37" s="26"/>
      <c r="H37" s="26"/>
      <c r="I37" s="26"/>
      <c r="J37" s="26"/>
      <c r="K37" s="26"/>
      <c r="L37" s="26"/>
    </row>
    <row r="38" spans="1:12" ht="12.75">
      <c r="A38" s="25" t="s">
        <v>18</v>
      </c>
      <c r="B38" s="26"/>
      <c r="C38" s="46" t="s">
        <v>63</v>
      </c>
      <c r="F38" s="26"/>
      <c r="G38" s="26"/>
      <c r="H38" s="26"/>
      <c r="I38" s="26"/>
      <c r="J38" s="26"/>
      <c r="K38" s="26"/>
      <c r="L38" s="26"/>
    </row>
    <row r="39" spans="1:12" ht="6" customHeight="1">
      <c r="A39" s="25"/>
      <c r="B39" s="26"/>
      <c r="C39" s="26"/>
      <c r="F39" s="26"/>
      <c r="G39" s="26"/>
      <c r="H39" s="26"/>
      <c r="I39" s="26"/>
      <c r="J39" s="26"/>
      <c r="K39" s="26"/>
      <c r="L39" s="26"/>
    </row>
    <row r="40" spans="1:12" ht="12.75">
      <c r="A40" s="25" t="s">
        <v>20</v>
      </c>
      <c r="B40" s="26"/>
      <c r="C40" s="26" t="s">
        <v>21</v>
      </c>
      <c r="F40" s="27"/>
      <c r="G40" s="26"/>
      <c r="H40" s="26"/>
      <c r="I40" s="26"/>
      <c r="J40" s="26"/>
      <c r="K40" s="26"/>
      <c r="L40" s="26"/>
    </row>
    <row r="41" spans="1:12" ht="12.75">
      <c r="A41" s="25"/>
      <c r="B41" s="26"/>
      <c r="C41" s="26" t="s">
        <v>22</v>
      </c>
      <c r="F41" s="27"/>
      <c r="G41" s="26"/>
      <c r="H41" s="26"/>
      <c r="I41" s="26"/>
      <c r="J41" s="26"/>
      <c r="K41" s="26"/>
      <c r="L41" s="26"/>
    </row>
    <row r="42" spans="1:12" ht="6" customHeight="1">
      <c r="A42" s="25"/>
      <c r="B42" s="26"/>
      <c r="C42" s="26"/>
      <c r="F42" s="27"/>
      <c r="G42" s="26"/>
      <c r="H42" s="26"/>
      <c r="I42" s="26"/>
      <c r="J42" s="26"/>
      <c r="K42" s="26"/>
      <c r="L42" s="26"/>
    </row>
    <row r="43" spans="1:12" ht="12.75">
      <c r="A43" s="25" t="s">
        <v>23</v>
      </c>
      <c r="B43" s="26"/>
      <c r="C43" s="26" t="s">
        <v>24</v>
      </c>
      <c r="F43" s="27"/>
      <c r="G43" s="26"/>
      <c r="H43" s="26"/>
      <c r="I43" s="26"/>
      <c r="J43" s="26"/>
      <c r="K43" s="26"/>
      <c r="L43" s="26"/>
    </row>
    <row r="44" spans="1:12" ht="6" customHeight="1">
      <c r="A44" s="25"/>
      <c r="B44" s="26"/>
      <c r="C44" s="26"/>
      <c r="D44" s="26"/>
      <c r="F44" s="27"/>
      <c r="G44" s="26"/>
      <c r="H44" s="26"/>
      <c r="I44" s="26"/>
      <c r="J44" s="26"/>
      <c r="K44" s="26"/>
      <c r="L44" s="26"/>
    </row>
    <row r="45" spans="1:12" s="37" customFormat="1" ht="12.75">
      <c r="A45" s="33" t="s">
        <v>30</v>
      </c>
      <c r="B45" s="34"/>
      <c r="C45" s="34" t="s">
        <v>31</v>
      </c>
      <c r="D45" s="35"/>
      <c r="E45" s="36"/>
      <c r="F45" s="34"/>
      <c r="G45" s="34"/>
      <c r="H45" s="34"/>
      <c r="I45" s="34"/>
      <c r="J45" s="34"/>
      <c r="K45" s="34"/>
      <c r="L45" s="34"/>
    </row>
    <row r="46" spans="1:12" s="37" customFormat="1" ht="12.75">
      <c r="A46" s="33"/>
      <c r="B46" s="34"/>
      <c r="C46" s="34" t="s">
        <v>43</v>
      </c>
      <c r="D46" s="35"/>
      <c r="E46" s="36"/>
      <c r="F46" s="34"/>
      <c r="G46" s="34"/>
      <c r="H46" s="34"/>
      <c r="I46" s="34"/>
      <c r="J46" s="34"/>
      <c r="K46" s="34"/>
      <c r="L46" s="34"/>
    </row>
    <row r="47" spans="1:12" s="37" customFormat="1" ht="12.75">
      <c r="A47" s="33"/>
      <c r="B47" s="34"/>
      <c r="C47" s="34" t="s">
        <v>44</v>
      </c>
      <c r="D47" s="35"/>
      <c r="E47" s="36"/>
      <c r="F47" s="34"/>
      <c r="G47" s="34"/>
      <c r="H47" s="34"/>
      <c r="I47" s="34"/>
      <c r="J47" s="34"/>
      <c r="K47" s="34"/>
      <c r="L47" s="34"/>
    </row>
    <row r="48" spans="1:12" ht="6" customHeight="1">
      <c r="A48" s="25"/>
      <c r="B48" s="26"/>
      <c r="C48" s="26"/>
      <c r="D48" s="26"/>
      <c r="F48" s="27"/>
      <c r="G48" s="26"/>
      <c r="H48" s="26"/>
      <c r="I48" s="26"/>
      <c r="J48" s="26"/>
      <c r="K48" s="26"/>
      <c r="L48" s="26"/>
    </row>
    <row r="49" spans="1:12" s="37" customFormat="1" ht="12.75">
      <c r="A49" s="33" t="s">
        <v>25</v>
      </c>
      <c r="B49" s="34"/>
      <c r="C49" s="34" t="s">
        <v>32</v>
      </c>
      <c r="D49" s="35"/>
      <c r="E49" s="36"/>
      <c r="F49" s="34"/>
      <c r="G49" s="34"/>
      <c r="H49" s="34"/>
      <c r="I49" s="34"/>
      <c r="J49" s="34"/>
      <c r="K49" s="34"/>
      <c r="L49" s="34"/>
    </row>
    <row r="50" spans="1:12" s="37" customFormat="1" ht="12.75">
      <c r="A50" s="33"/>
      <c r="B50" s="34"/>
      <c r="C50" s="34" t="s">
        <v>33</v>
      </c>
      <c r="D50" s="35"/>
      <c r="E50" s="36"/>
      <c r="F50" s="34"/>
      <c r="G50" s="34"/>
      <c r="H50" s="34"/>
      <c r="I50" s="34"/>
      <c r="J50" s="34"/>
      <c r="K50" s="34"/>
      <c r="L50" s="34"/>
    </row>
    <row r="51" spans="1:12" ht="6" customHeight="1">
      <c r="A51" s="25"/>
      <c r="B51" s="26"/>
      <c r="C51" s="26"/>
      <c r="F51" s="27"/>
      <c r="G51" s="26"/>
      <c r="H51" s="26"/>
      <c r="I51" s="26"/>
      <c r="J51" s="26"/>
      <c r="K51" s="26"/>
      <c r="L51" s="26"/>
    </row>
    <row r="52" spans="1:12" s="37" customFormat="1" ht="12.75">
      <c r="A52" s="33" t="s">
        <v>46</v>
      </c>
      <c r="B52" s="34"/>
      <c r="C52" s="34" t="s">
        <v>34</v>
      </c>
      <c r="D52" s="35"/>
      <c r="E52" s="36"/>
      <c r="F52" s="34"/>
      <c r="G52" s="34"/>
      <c r="H52" s="34"/>
      <c r="I52" s="34"/>
      <c r="J52" s="34"/>
      <c r="K52" s="34"/>
      <c r="L52" s="34"/>
    </row>
    <row r="53" spans="1:12" s="37" customFormat="1" ht="12.75">
      <c r="A53" s="38"/>
      <c r="B53" s="34"/>
      <c r="C53" s="34" t="s">
        <v>35</v>
      </c>
      <c r="D53" s="35"/>
      <c r="E53" s="36"/>
      <c r="F53" s="34"/>
      <c r="G53" s="34"/>
      <c r="H53" s="34"/>
      <c r="I53" s="34"/>
      <c r="J53" s="34"/>
      <c r="K53" s="34"/>
      <c r="L53" s="34"/>
    </row>
    <row r="54" spans="1:12" ht="12.75">
      <c r="A54" s="28"/>
      <c r="B54" s="29"/>
      <c r="C54" s="29"/>
      <c r="D54" s="29"/>
      <c r="E54" s="29"/>
      <c r="F54" s="30"/>
      <c r="G54" s="29"/>
      <c r="H54" s="29"/>
      <c r="I54" s="29"/>
      <c r="J54" s="29"/>
      <c r="K54" s="29"/>
      <c r="L54" s="29"/>
    </row>
    <row r="55" spans="1:12" s="23" customFormat="1" ht="12.75">
      <c r="A55" s="113" t="s">
        <v>26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5"/>
    </row>
    <row r="56" ht="12.75">
      <c r="A56" s="24"/>
    </row>
    <row r="57" spans="1:12" ht="13.5">
      <c r="A57" s="31"/>
      <c r="B57" s="42"/>
      <c r="D57" s="43" t="s">
        <v>4</v>
      </c>
      <c r="E57" s="116" t="s">
        <v>48</v>
      </c>
      <c r="F57" s="116"/>
      <c r="G57" s="116"/>
      <c r="H57" s="116"/>
      <c r="I57" s="116"/>
      <c r="J57" s="116"/>
      <c r="K57" s="43" t="s">
        <v>5</v>
      </c>
      <c r="L57" s="43" t="s">
        <v>41</v>
      </c>
    </row>
    <row r="58" spans="1:12" ht="12.75">
      <c r="A58" s="32"/>
      <c r="B58" s="42"/>
      <c r="D58" s="44" t="s">
        <v>12</v>
      </c>
      <c r="E58" s="44" t="s">
        <v>49</v>
      </c>
      <c r="F58" s="44" t="s">
        <v>50</v>
      </c>
      <c r="G58" s="44" t="s">
        <v>51</v>
      </c>
      <c r="H58" s="45"/>
      <c r="I58" s="44" t="s">
        <v>53</v>
      </c>
      <c r="J58" s="44" t="s">
        <v>52</v>
      </c>
      <c r="K58" s="44" t="s">
        <v>14</v>
      </c>
      <c r="L58" s="44" t="s">
        <v>42</v>
      </c>
    </row>
    <row r="59" spans="1:12" ht="12.75">
      <c r="A59" s="24" t="s">
        <v>54</v>
      </c>
      <c r="B59" s="39"/>
      <c r="D59" s="40">
        <v>0.44</v>
      </c>
      <c r="E59" s="40">
        <v>0.235</v>
      </c>
      <c r="F59" s="40">
        <v>0.065</v>
      </c>
      <c r="G59" s="40">
        <v>0.01</v>
      </c>
      <c r="H59" s="41"/>
      <c r="I59" s="40">
        <v>0.03</v>
      </c>
      <c r="J59" s="40">
        <v>0.04</v>
      </c>
      <c r="K59" s="40">
        <v>0.08</v>
      </c>
      <c r="L59" s="40">
        <v>0.1</v>
      </c>
    </row>
    <row r="60" spans="1:12" ht="12.75">
      <c r="A60" s="24" t="s">
        <v>55</v>
      </c>
      <c r="B60" s="39"/>
      <c r="D60" s="40">
        <v>0.44</v>
      </c>
      <c r="E60" s="40">
        <v>0.2275</v>
      </c>
      <c r="F60" s="40">
        <v>0.07</v>
      </c>
      <c r="G60" s="40">
        <v>0.0125</v>
      </c>
      <c r="H60" s="41"/>
      <c r="I60" s="40">
        <v>0.03</v>
      </c>
      <c r="J60" s="40">
        <v>0.04</v>
      </c>
      <c r="K60" s="40">
        <v>0.08</v>
      </c>
      <c r="L60" s="40">
        <v>0.1</v>
      </c>
    </row>
    <row r="61" spans="1:12" ht="12.75">
      <c r="A61" s="24" t="s">
        <v>56</v>
      </c>
      <c r="B61" s="39"/>
      <c r="D61" s="40">
        <v>0.44</v>
      </c>
      <c r="E61" s="40">
        <v>0.22</v>
      </c>
      <c r="F61" s="40">
        <v>0.075</v>
      </c>
      <c r="G61" s="40">
        <v>0.015</v>
      </c>
      <c r="H61" s="41"/>
      <c r="I61" s="40">
        <v>0.03</v>
      </c>
      <c r="J61" s="40">
        <v>0.04</v>
      </c>
      <c r="K61" s="40">
        <v>0.08</v>
      </c>
      <c r="L61" s="40">
        <v>0.1</v>
      </c>
    </row>
    <row r="62" spans="2:12" ht="12.75">
      <c r="B62" s="39"/>
      <c r="D62" s="40"/>
      <c r="E62" s="40"/>
      <c r="F62" s="40"/>
      <c r="G62" s="40"/>
      <c r="H62" s="41"/>
      <c r="I62" s="40"/>
      <c r="J62" s="40"/>
      <c r="K62" s="40"/>
      <c r="L62" s="40"/>
    </row>
    <row r="64" ht="12.75">
      <c r="A64" s="48" t="s">
        <v>61</v>
      </c>
    </row>
  </sheetData>
  <sheetProtection/>
  <mergeCells count="10">
    <mergeCell ref="I10:L10"/>
    <mergeCell ref="A31:L31"/>
    <mergeCell ref="A55:L55"/>
    <mergeCell ref="E57:J57"/>
    <mergeCell ref="A1:L1"/>
    <mergeCell ref="A2:L2"/>
    <mergeCell ref="A3:L3"/>
    <mergeCell ref="A4:L4"/>
    <mergeCell ref="A5:L5"/>
    <mergeCell ref="A8:L8"/>
  </mergeCells>
  <hyperlinks>
    <hyperlink ref="A4" r:id="rId1" display="www.rwnewyork.com"/>
  </hyperlinks>
  <printOptions/>
  <pageMargins left="0.25" right="0.25" top="0.75" bottom="0.5" header="0.5" footer="0.5"/>
  <pageSetup fitToHeight="1" fitToWidth="1" horizontalDpi="600" verticalDpi="600" orientation="portrait" scale="76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9.28125" style="3" customWidth="1"/>
    <col min="2" max="2" width="15.421875" style="16" bestFit="1" customWidth="1"/>
    <col min="3" max="3" width="13.421875" style="16" customWidth="1"/>
    <col min="4" max="4" width="15.421875" style="16" bestFit="1" customWidth="1"/>
    <col min="5" max="5" width="12.7109375" style="16" customWidth="1"/>
    <col min="6" max="6" width="8.28125" style="17" bestFit="1" customWidth="1"/>
    <col min="7" max="7" width="10.7109375" style="16" customWidth="1"/>
    <col min="8" max="8" width="1.421875" style="16" customWidth="1"/>
    <col min="9" max="10" width="12.7109375" style="16" bestFit="1" customWidth="1"/>
    <col min="11" max="11" width="12.00390625" style="16" customWidth="1"/>
    <col min="12" max="12" width="12.28125" style="16" customWidth="1"/>
    <col min="13" max="13" width="12.7109375" style="0" customWidth="1"/>
  </cols>
  <sheetData>
    <row r="1" spans="1:12" ht="18">
      <c r="A1" s="117" t="s">
        <v>45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15">
      <c r="A2" s="118" t="s">
        <v>36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s="1" customFormat="1" ht="15">
      <c r="A3" s="118" t="s">
        <v>37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s="1" customFormat="1" ht="15">
      <c r="A4" s="109" t="s">
        <v>38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s="1" customFormat="1" ht="14.25">
      <c r="A5" s="119" t="s">
        <v>39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s="1" customFormat="1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s="1" customFormat="1" ht="12.75">
      <c r="A7" s="3"/>
      <c r="B7" s="4"/>
      <c r="C7" s="4"/>
      <c r="D7" s="4"/>
      <c r="E7" s="5"/>
      <c r="F7" s="6"/>
      <c r="G7" s="5"/>
      <c r="H7" s="5"/>
      <c r="I7" s="5"/>
      <c r="J7" s="5"/>
      <c r="K7" s="5"/>
      <c r="L7" s="5"/>
    </row>
    <row r="8" spans="1:12" s="7" customFormat="1" ht="14.25" customHeight="1">
      <c r="A8" s="113" t="s">
        <v>57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5"/>
    </row>
    <row r="9" spans="1:12" s="1" customFormat="1" ht="9" customHeight="1">
      <c r="A9" s="3"/>
      <c r="B9" s="4"/>
      <c r="C9" s="4"/>
      <c r="D9" s="4"/>
      <c r="E9" s="5"/>
      <c r="F9" s="6"/>
      <c r="G9" s="5"/>
      <c r="H9" s="5"/>
      <c r="I9" s="5"/>
      <c r="J9" s="5"/>
      <c r="K9" s="5"/>
      <c r="L9" s="5"/>
    </row>
    <row r="10" spans="1:12" s="1" customFormat="1" ht="12.75">
      <c r="A10" s="3"/>
      <c r="B10" s="5"/>
      <c r="C10" s="5"/>
      <c r="D10" s="5"/>
      <c r="E10" s="5"/>
      <c r="F10" s="6"/>
      <c r="G10" s="5"/>
      <c r="H10" s="5"/>
      <c r="I10" s="112" t="s">
        <v>0</v>
      </c>
      <c r="J10" s="112"/>
      <c r="K10" s="112"/>
      <c r="L10" s="112"/>
    </row>
    <row r="11" spans="1:12" s="1" customFormat="1" ht="7.5" customHeight="1">
      <c r="A11" s="3"/>
      <c r="B11" s="5"/>
      <c r="C11" s="5"/>
      <c r="D11" s="5"/>
      <c r="E11" s="5"/>
      <c r="F11" s="6"/>
      <c r="G11" s="5"/>
      <c r="H11" s="5"/>
      <c r="I11" s="5"/>
      <c r="J11" s="5"/>
      <c r="K11" s="5"/>
      <c r="L11" s="5"/>
    </row>
    <row r="12" spans="1:12" s="12" customFormat="1" ht="12">
      <c r="A12" s="9"/>
      <c r="B12" s="10" t="s">
        <v>1</v>
      </c>
      <c r="C12" s="10" t="s">
        <v>29</v>
      </c>
      <c r="D12" s="10" t="s">
        <v>1</v>
      </c>
      <c r="E12" s="10"/>
      <c r="F12" s="11" t="s">
        <v>2</v>
      </c>
      <c r="G12" s="10" t="s">
        <v>3</v>
      </c>
      <c r="H12" s="10"/>
      <c r="I12" s="10" t="s">
        <v>4</v>
      </c>
      <c r="J12" s="10" t="s">
        <v>40</v>
      </c>
      <c r="K12" s="10" t="s">
        <v>5</v>
      </c>
      <c r="L12" s="10" t="s">
        <v>41</v>
      </c>
    </row>
    <row r="13" spans="1:12" s="12" customFormat="1" ht="12">
      <c r="A13" s="13" t="s">
        <v>6</v>
      </c>
      <c r="B13" s="8" t="s">
        <v>7</v>
      </c>
      <c r="C13" s="8" t="s">
        <v>14</v>
      </c>
      <c r="D13" s="8" t="s">
        <v>8</v>
      </c>
      <c r="E13" s="8" t="s">
        <v>9</v>
      </c>
      <c r="F13" s="14" t="s">
        <v>10</v>
      </c>
      <c r="G13" s="8" t="s">
        <v>11</v>
      </c>
      <c r="H13" s="15"/>
      <c r="I13" s="8" t="s">
        <v>12</v>
      </c>
      <c r="J13" s="8" t="s">
        <v>13</v>
      </c>
      <c r="K13" s="8" t="s">
        <v>14</v>
      </c>
      <c r="L13" s="8" t="s">
        <v>42</v>
      </c>
    </row>
    <row r="15" spans="1:12" ht="12.75">
      <c r="A15" s="3">
        <v>41000</v>
      </c>
      <c r="B15" s="16">
        <v>1102114520.44</v>
      </c>
      <c r="C15" s="16">
        <f>2803447.63-68458.75</f>
        <v>2734988.88</v>
      </c>
      <c r="D15" s="16">
        <f aca="true" t="shared" si="0" ref="D15:D26">+B15-C15-E15</f>
        <v>1041817490.06</v>
      </c>
      <c r="E15" s="16">
        <v>57562041.5</v>
      </c>
      <c r="F15" s="17">
        <f>148327/30</f>
        <v>4944.233333333334</v>
      </c>
      <c r="G15" s="16">
        <f>E15/F15/30</f>
        <v>388.07527624774985</v>
      </c>
      <c r="I15" s="16">
        <v>25327298.25</v>
      </c>
      <c r="J15" s="16">
        <v>21873575.8</v>
      </c>
      <c r="K15" s="16">
        <v>4604963.33</v>
      </c>
      <c r="L15" s="16">
        <v>5756204.16</v>
      </c>
    </row>
    <row r="16" spans="1:12" ht="12.75">
      <c r="A16" s="3">
        <v>41030</v>
      </c>
      <c r="B16" s="16">
        <v>1080946103.03</v>
      </c>
      <c r="C16" s="16">
        <f>3080797.74-115380</f>
        <v>2965417.74</v>
      </c>
      <c r="D16" s="16">
        <f t="shared" si="0"/>
        <v>1020518051.8299999</v>
      </c>
      <c r="E16" s="16">
        <v>57462633.46</v>
      </c>
      <c r="F16" s="17">
        <f>153232/31</f>
        <v>4942.967741935484</v>
      </c>
      <c r="G16" s="16">
        <f>E16/F16/31</f>
        <v>375.00413399289965</v>
      </c>
      <c r="I16" s="16">
        <v>25283558.7</v>
      </c>
      <c r="J16" s="16">
        <v>21835800.73</v>
      </c>
      <c r="K16" s="16">
        <v>4597010.67</v>
      </c>
      <c r="L16" s="16">
        <v>5746263.37</v>
      </c>
    </row>
    <row r="17" spans="1:12" ht="12.75">
      <c r="A17" s="3">
        <v>41061</v>
      </c>
      <c r="B17" s="16">
        <v>995532220.42</v>
      </c>
      <c r="C17" s="16">
        <v>3526287.74</v>
      </c>
      <c r="D17" s="16">
        <f t="shared" si="0"/>
        <v>937953254.93</v>
      </c>
      <c r="E17" s="16">
        <v>54052677.75</v>
      </c>
      <c r="F17" s="17">
        <f>148791/30</f>
        <v>4959.7</v>
      </c>
      <c r="G17" s="16">
        <f>E17/F17/30</f>
        <v>363.27921547674254</v>
      </c>
      <c r="I17" s="16">
        <v>23783178.22</v>
      </c>
      <c r="J17" s="16">
        <v>20540017.55</v>
      </c>
      <c r="K17" s="16">
        <v>4324214.2</v>
      </c>
      <c r="L17" s="16">
        <v>5405267.79</v>
      </c>
    </row>
    <row r="18" spans="1:12" ht="12.75">
      <c r="A18" s="3">
        <v>41091</v>
      </c>
      <c r="B18" s="16">
        <v>1134140071.19</v>
      </c>
      <c r="C18" s="16">
        <v>5400901.56</v>
      </c>
      <c r="D18" s="16">
        <f t="shared" si="0"/>
        <v>1068984186.8600001</v>
      </c>
      <c r="E18" s="16">
        <v>59754982.77</v>
      </c>
      <c r="F18" s="17">
        <f>154505/31</f>
        <v>4984.032258064516</v>
      </c>
      <c r="G18" s="16">
        <f>E18/F18/31</f>
        <v>386.751126306592</v>
      </c>
      <c r="I18" s="16">
        <v>26292192.43</v>
      </c>
      <c r="J18" s="16">
        <v>22706893.46</v>
      </c>
      <c r="K18" s="16">
        <v>4780398.65</v>
      </c>
      <c r="L18" s="16">
        <v>5975498.27</v>
      </c>
    </row>
    <row r="19" spans="1:12" ht="12.75">
      <c r="A19" s="3">
        <v>41122</v>
      </c>
      <c r="B19" s="16">
        <v>1126108001.42</v>
      </c>
      <c r="C19" s="16">
        <f>5340819.14-207280</f>
        <v>5133539.14</v>
      </c>
      <c r="D19" s="16">
        <f t="shared" si="0"/>
        <v>1062362369.35</v>
      </c>
      <c r="E19" s="16">
        <v>58612092.93</v>
      </c>
      <c r="F19" s="17">
        <f>154597/31</f>
        <v>4987</v>
      </c>
      <c r="G19" s="16">
        <f>E19/F19/31</f>
        <v>379.1282685304372</v>
      </c>
      <c r="I19" s="16">
        <v>25789320.88</v>
      </c>
      <c r="J19" s="16">
        <v>22272595.33</v>
      </c>
      <c r="K19" s="16">
        <v>4688967.46</v>
      </c>
      <c r="L19" s="16">
        <v>5861209.31</v>
      </c>
    </row>
    <row r="20" spans="1:12" ht="12.75">
      <c r="A20" s="3">
        <v>41153</v>
      </c>
      <c r="B20" s="16">
        <v>1114555854.38</v>
      </c>
      <c r="C20" s="16">
        <f>5436808.3-20804</f>
        <v>5416004.3</v>
      </c>
      <c r="D20" s="16">
        <f t="shared" si="0"/>
        <v>1051591047.8300002</v>
      </c>
      <c r="E20" s="16">
        <v>57548802.25</v>
      </c>
      <c r="F20" s="17">
        <f>145111/30</f>
        <v>4837.033333333334</v>
      </c>
      <c r="G20" s="16">
        <f>E20/F20/30</f>
        <v>396.58469895459336</v>
      </c>
      <c r="I20" s="16">
        <v>25321472.98</v>
      </c>
      <c r="J20" s="16">
        <v>21868544.85</v>
      </c>
      <c r="K20" s="16">
        <v>4603904.2</v>
      </c>
      <c r="L20" s="16">
        <v>5754880.22</v>
      </c>
    </row>
    <row r="21" spans="1:12" ht="12.75">
      <c r="A21" s="3">
        <v>41183</v>
      </c>
      <c r="B21" s="16">
        <v>1070674269.95</v>
      </c>
      <c r="C21" s="16">
        <f>4836293.86-139040</f>
        <v>4697253.86</v>
      </c>
      <c r="D21" s="16">
        <f t="shared" si="0"/>
        <v>1013701971.6800001</v>
      </c>
      <c r="E21" s="16">
        <v>52275044.41</v>
      </c>
      <c r="F21" s="17">
        <f>148891/31</f>
        <v>4802.935483870968</v>
      </c>
      <c r="G21" s="16">
        <f>E21/F21/31</f>
        <v>351.0960663169701</v>
      </c>
      <c r="I21" s="16">
        <v>23001019.54</v>
      </c>
      <c r="J21" s="16">
        <v>19864516.89</v>
      </c>
      <c r="K21" s="16">
        <v>4182003.58</v>
      </c>
      <c r="L21" s="16">
        <v>5227504.44</v>
      </c>
    </row>
    <row r="22" spans="1:12" ht="12.75">
      <c r="A22" s="3">
        <v>41214</v>
      </c>
      <c r="B22" s="16">
        <v>1048501106.63</v>
      </c>
      <c r="C22" s="16">
        <f>4423188.25-125406</f>
        <v>4297782.25</v>
      </c>
      <c r="D22" s="16">
        <f t="shared" si="0"/>
        <v>992064169.09</v>
      </c>
      <c r="E22" s="16">
        <v>52139155.29</v>
      </c>
      <c r="F22" s="17">
        <f>149884/30</f>
        <v>4996.133333333333</v>
      </c>
      <c r="G22" s="16">
        <f>E22/F22/30</f>
        <v>347.8633829494809</v>
      </c>
      <c r="I22" s="16">
        <v>22941228.32</v>
      </c>
      <c r="J22" s="16">
        <v>19812879</v>
      </c>
      <c r="K22" s="16">
        <v>4171132.42</v>
      </c>
      <c r="L22" s="16">
        <v>5213915.57</v>
      </c>
    </row>
    <row r="23" spans="1:12" ht="12.75">
      <c r="A23" s="3">
        <v>41244</v>
      </c>
      <c r="B23" s="16">
        <v>1256155324.01</v>
      </c>
      <c r="C23" s="16">
        <f>5627890.03-132791.31</f>
        <v>5495098.720000001</v>
      </c>
      <c r="D23" s="16">
        <f t="shared" si="0"/>
        <v>1190937884.12</v>
      </c>
      <c r="E23" s="16">
        <v>59722341.17</v>
      </c>
      <c r="F23" s="17">
        <f>155155/31</f>
        <v>5005</v>
      </c>
      <c r="G23" s="16">
        <f>E23/F23/31</f>
        <v>384.920506396829</v>
      </c>
      <c r="I23" s="16">
        <v>26277830.09</v>
      </c>
      <c r="J23" s="16">
        <v>22694489.63</v>
      </c>
      <c r="K23" s="16">
        <v>4777787.28</v>
      </c>
      <c r="L23" s="16">
        <v>5972234.16</v>
      </c>
    </row>
    <row r="24" spans="1:12" ht="12.75">
      <c r="A24" s="3">
        <v>41275</v>
      </c>
      <c r="B24" s="16">
        <v>1246577989.05</v>
      </c>
      <c r="C24" s="16">
        <v>6553139.01</v>
      </c>
      <c r="D24" s="16">
        <f t="shared" si="0"/>
        <v>1180887025.01</v>
      </c>
      <c r="E24" s="16">
        <v>59137825.03</v>
      </c>
      <c r="F24" s="17">
        <f>155155/31</f>
        <v>5005</v>
      </c>
      <c r="G24" s="16">
        <f>E24/F24/31</f>
        <v>381.15320183042763</v>
      </c>
      <c r="I24" s="16">
        <v>26020642.98</v>
      </c>
      <c r="J24" s="16">
        <v>22472373.49</v>
      </c>
      <c r="K24" s="16">
        <v>4731026</v>
      </c>
      <c r="L24" s="16">
        <v>5913782.52</v>
      </c>
    </row>
    <row r="25" spans="1:12" ht="12.75">
      <c r="A25" s="3">
        <v>41306</v>
      </c>
      <c r="B25" s="16">
        <v>1195743011.42</v>
      </c>
      <c r="C25" s="16">
        <v>6822550.09</v>
      </c>
      <c r="D25" s="16">
        <f t="shared" si="0"/>
        <v>1131789675.3300002</v>
      </c>
      <c r="E25" s="16">
        <v>57130786</v>
      </c>
      <c r="F25" s="17">
        <f>139938/28</f>
        <v>4997.785714285715</v>
      </c>
      <c r="G25" s="16">
        <f>E25/F25/28</f>
        <v>408.2578427589361</v>
      </c>
      <c r="I25" s="16">
        <v>25137545.84</v>
      </c>
      <c r="J25" s="16">
        <v>21709698.68</v>
      </c>
      <c r="K25" s="16">
        <v>4570462.87</v>
      </c>
      <c r="L25" s="16">
        <v>5713078.64</v>
      </c>
    </row>
    <row r="26" spans="1:12" ht="12.75">
      <c r="A26" s="3">
        <v>41334</v>
      </c>
      <c r="B26" s="16">
        <v>1479906461.63</v>
      </c>
      <c r="C26" s="16">
        <v>6051464.11</v>
      </c>
      <c r="D26" s="16">
        <f t="shared" si="0"/>
        <v>1402698324.3900003</v>
      </c>
      <c r="E26" s="16">
        <v>71156673.13</v>
      </c>
      <c r="F26" s="17">
        <f>155093/31</f>
        <v>5003</v>
      </c>
      <c r="G26" s="16">
        <f>E26/F26/31</f>
        <v>458.80003049783033</v>
      </c>
      <c r="I26" s="16">
        <v>31308936.19</v>
      </c>
      <c r="J26" s="16">
        <v>27039535.78</v>
      </c>
      <c r="K26" s="16">
        <v>5692533.87</v>
      </c>
      <c r="L26" s="16">
        <v>7115667.36</v>
      </c>
    </row>
    <row r="27" spans="1:12" ht="13.5" thickBot="1">
      <c r="A27" s="3" t="s">
        <v>15</v>
      </c>
      <c r="B27" s="18">
        <f>SUM(B15:B26)</f>
        <v>13850954933.57</v>
      </c>
      <c r="C27" s="18">
        <f>SUM(C15:C26)</f>
        <v>59094427.39999999</v>
      </c>
      <c r="D27" s="18">
        <f>SUM(D15:D26)</f>
        <v>13095305450.48</v>
      </c>
      <c r="E27" s="18">
        <f>SUM(E15:E26)</f>
        <v>696555055.69</v>
      </c>
      <c r="I27" s="18">
        <f>SUM(I15:I26)</f>
        <v>306484224.41999996</v>
      </c>
      <c r="J27" s="18">
        <f>SUM(J15:J26)</f>
        <v>264690921.19000003</v>
      </c>
      <c r="K27" s="18">
        <f>SUM(K15:K26)</f>
        <v>55724404.53</v>
      </c>
      <c r="L27" s="18">
        <f>SUM(L15:L26)</f>
        <v>69655505.80999999</v>
      </c>
    </row>
    <row r="28" spans="2:12" ht="10.5" customHeight="1" thickTop="1">
      <c r="B28" s="19"/>
      <c r="C28" s="19"/>
      <c r="D28" s="19"/>
      <c r="E28" s="19"/>
      <c r="I28" s="19"/>
      <c r="J28" s="19"/>
      <c r="K28" s="19"/>
      <c r="L28" s="19"/>
    </row>
    <row r="29" spans="1:12" s="22" customFormat="1" ht="12.75">
      <c r="A29" s="20"/>
      <c r="B29" s="21"/>
      <c r="C29" s="21">
        <f>C27/B27</f>
        <v>0.004266451496190722</v>
      </c>
      <c r="D29" s="21">
        <f>D27/B27</f>
        <v>0.9454442320609561</v>
      </c>
      <c r="E29" s="21">
        <f>E27/B27</f>
        <v>0.05028931644285317</v>
      </c>
      <c r="I29" s="21">
        <f>I27/$E$27</f>
        <v>0.4399999998799807</v>
      </c>
      <c r="J29" s="21">
        <f>J27/$E$27</f>
        <v>0.3800000000399107</v>
      </c>
      <c r="K29" s="21">
        <f>K27/$E$27</f>
        <v>0.08000000010738562</v>
      </c>
      <c r="L29" s="21">
        <f>L27/$E$27</f>
        <v>0.10000000034598842</v>
      </c>
    </row>
    <row r="31" spans="1:12" s="23" customFormat="1" ht="12.75">
      <c r="A31" s="113" t="s">
        <v>16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5"/>
    </row>
    <row r="32" ht="12.75">
      <c r="A32" s="24"/>
    </row>
    <row r="33" spans="1:12" s="37" customFormat="1" ht="12.75" customHeight="1">
      <c r="A33" s="33" t="s">
        <v>17</v>
      </c>
      <c r="B33" s="34"/>
      <c r="C33" s="46" t="s">
        <v>58</v>
      </c>
      <c r="D33" s="47"/>
      <c r="E33" s="47"/>
      <c r="F33" s="47"/>
      <c r="G33" s="47"/>
      <c r="H33" s="47"/>
      <c r="I33" s="47"/>
      <c r="J33" s="47"/>
      <c r="K33" s="47"/>
      <c r="L33" s="47"/>
    </row>
    <row r="34" spans="1:12" s="37" customFormat="1" ht="12.75" customHeight="1">
      <c r="A34" s="33"/>
      <c r="B34" s="34"/>
      <c r="C34" s="46" t="s">
        <v>59</v>
      </c>
      <c r="D34" s="47"/>
      <c r="E34" s="47"/>
      <c r="F34" s="47"/>
      <c r="G34" s="47"/>
      <c r="H34" s="47"/>
      <c r="I34" s="47"/>
      <c r="J34" s="47"/>
      <c r="K34" s="47"/>
      <c r="L34" s="47"/>
    </row>
    <row r="35" spans="1:12" ht="6" customHeight="1">
      <c r="A35" s="25"/>
      <c r="B35" s="26"/>
      <c r="C35" s="26"/>
      <c r="F35" s="26"/>
      <c r="G35" s="26"/>
      <c r="H35" s="26"/>
      <c r="I35" s="26"/>
      <c r="J35" s="26"/>
      <c r="K35" s="26"/>
      <c r="L35" s="26"/>
    </row>
    <row r="36" spans="1:13" ht="12.75">
      <c r="A36" s="25" t="s">
        <v>60</v>
      </c>
      <c r="B36" s="26"/>
      <c r="C36" s="26" t="s">
        <v>47</v>
      </c>
      <c r="F36" s="26"/>
      <c r="G36" s="26"/>
      <c r="H36" s="26"/>
      <c r="I36" s="26"/>
      <c r="J36" s="26"/>
      <c r="K36" s="26"/>
      <c r="L36" s="26"/>
      <c r="M36" s="26"/>
    </row>
    <row r="37" spans="1:12" ht="6" customHeight="1">
      <c r="A37" s="25"/>
      <c r="B37" s="26"/>
      <c r="C37" s="26"/>
      <c r="F37" s="26"/>
      <c r="G37" s="26"/>
      <c r="H37" s="26"/>
      <c r="I37" s="26"/>
      <c r="J37" s="26"/>
      <c r="K37" s="26"/>
      <c r="L37" s="26"/>
    </row>
    <row r="38" spans="1:12" ht="12.75">
      <c r="A38" s="25" t="s">
        <v>18</v>
      </c>
      <c r="B38" s="26"/>
      <c r="C38" s="26" t="s">
        <v>19</v>
      </c>
      <c r="F38" s="26"/>
      <c r="G38" s="26"/>
      <c r="H38" s="26"/>
      <c r="I38" s="26"/>
      <c r="J38" s="26"/>
      <c r="K38" s="26"/>
      <c r="L38" s="26"/>
    </row>
    <row r="39" spans="1:12" ht="6" customHeight="1">
      <c r="A39" s="25"/>
      <c r="B39" s="26"/>
      <c r="C39" s="26"/>
      <c r="F39" s="26"/>
      <c r="G39" s="26"/>
      <c r="H39" s="26"/>
      <c r="I39" s="26"/>
      <c r="J39" s="26"/>
      <c r="K39" s="26"/>
      <c r="L39" s="26"/>
    </row>
    <row r="40" spans="1:12" ht="12.75">
      <c r="A40" s="25" t="s">
        <v>20</v>
      </c>
      <c r="B40" s="26"/>
      <c r="C40" s="26" t="s">
        <v>21</v>
      </c>
      <c r="F40" s="27"/>
      <c r="G40" s="26"/>
      <c r="H40" s="26"/>
      <c r="I40" s="26"/>
      <c r="J40" s="26"/>
      <c r="K40" s="26"/>
      <c r="L40" s="26"/>
    </row>
    <row r="41" spans="1:12" ht="12.75">
      <c r="A41" s="25"/>
      <c r="B41" s="26"/>
      <c r="C41" s="26" t="s">
        <v>22</v>
      </c>
      <c r="F41" s="27"/>
      <c r="G41" s="26"/>
      <c r="H41" s="26"/>
      <c r="I41" s="26"/>
      <c r="J41" s="26"/>
      <c r="K41" s="26"/>
      <c r="L41" s="26"/>
    </row>
    <row r="42" spans="1:12" ht="6" customHeight="1">
      <c r="A42" s="25"/>
      <c r="B42" s="26"/>
      <c r="C42" s="26"/>
      <c r="F42" s="27"/>
      <c r="G42" s="26"/>
      <c r="H42" s="26"/>
      <c r="I42" s="26"/>
      <c r="J42" s="26"/>
      <c r="K42" s="26"/>
      <c r="L42" s="26"/>
    </row>
    <row r="43" spans="1:12" ht="12.75">
      <c r="A43" s="25" t="s">
        <v>23</v>
      </c>
      <c r="B43" s="26"/>
      <c r="C43" s="26" t="s">
        <v>24</v>
      </c>
      <c r="F43" s="27"/>
      <c r="G43" s="26"/>
      <c r="H43" s="26"/>
      <c r="I43" s="26"/>
      <c r="J43" s="26"/>
      <c r="K43" s="26"/>
      <c r="L43" s="26"/>
    </row>
    <row r="44" spans="1:12" ht="6" customHeight="1">
      <c r="A44" s="25"/>
      <c r="B44" s="26"/>
      <c r="C44" s="26"/>
      <c r="D44" s="26"/>
      <c r="F44" s="27"/>
      <c r="G44" s="26"/>
      <c r="H44" s="26"/>
      <c r="I44" s="26"/>
      <c r="J44" s="26"/>
      <c r="K44" s="26"/>
      <c r="L44" s="26"/>
    </row>
    <row r="45" spans="1:12" s="37" customFormat="1" ht="12.75">
      <c r="A45" s="33" t="s">
        <v>30</v>
      </c>
      <c r="B45" s="34"/>
      <c r="C45" s="34" t="s">
        <v>31</v>
      </c>
      <c r="D45" s="35"/>
      <c r="E45" s="36"/>
      <c r="F45" s="34"/>
      <c r="G45" s="34"/>
      <c r="H45" s="34"/>
      <c r="I45" s="34"/>
      <c r="J45" s="34"/>
      <c r="K45" s="34"/>
      <c r="L45" s="34"/>
    </row>
    <row r="46" spans="1:12" s="37" customFormat="1" ht="12.75">
      <c r="A46" s="33"/>
      <c r="B46" s="34"/>
      <c r="C46" s="34" t="s">
        <v>43</v>
      </c>
      <c r="D46" s="35"/>
      <c r="E46" s="36"/>
      <c r="F46" s="34"/>
      <c r="G46" s="34"/>
      <c r="H46" s="34"/>
      <c r="I46" s="34"/>
      <c r="J46" s="34"/>
      <c r="K46" s="34"/>
      <c r="L46" s="34"/>
    </row>
    <row r="47" spans="1:12" s="37" customFormat="1" ht="12.75">
      <c r="A47" s="33"/>
      <c r="B47" s="34"/>
      <c r="C47" s="34" t="s">
        <v>44</v>
      </c>
      <c r="D47" s="35"/>
      <c r="E47" s="36"/>
      <c r="F47" s="34"/>
      <c r="G47" s="34"/>
      <c r="H47" s="34"/>
      <c r="I47" s="34"/>
      <c r="J47" s="34"/>
      <c r="K47" s="34"/>
      <c r="L47" s="34"/>
    </row>
    <row r="48" spans="1:12" ht="6" customHeight="1">
      <c r="A48" s="25"/>
      <c r="B48" s="26"/>
      <c r="C48" s="26"/>
      <c r="D48" s="26"/>
      <c r="F48" s="27"/>
      <c r="G48" s="26"/>
      <c r="H48" s="26"/>
      <c r="I48" s="26"/>
      <c r="J48" s="26"/>
      <c r="K48" s="26"/>
      <c r="L48" s="26"/>
    </row>
    <row r="49" spans="1:12" s="37" customFormat="1" ht="12.75">
      <c r="A49" s="33" t="s">
        <v>25</v>
      </c>
      <c r="B49" s="34"/>
      <c r="C49" s="34" t="s">
        <v>32</v>
      </c>
      <c r="D49" s="35"/>
      <c r="E49" s="36"/>
      <c r="F49" s="34"/>
      <c r="G49" s="34"/>
      <c r="H49" s="34"/>
      <c r="I49" s="34"/>
      <c r="J49" s="34"/>
      <c r="K49" s="34"/>
      <c r="L49" s="34"/>
    </row>
    <row r="50" spans="1:12" s="37" customFormat="1" ht="12.75">
      <c r="A50" s="33"/>
      <c r="B50" s="34"/>
      <c r="C50" s="34" t="s">
        <v>33</v>
      </c>
      <c r="D50" s="35"/>
      <c r="E50" s="36"/>
      <c r="F50" s="34"/>
      <c r="G50" s="34"/>
      <c r="H50" s="34"/>
      <c r="I50" s="34"/>
      <c r="J50" s="34"/>
      <c r="K50" s="34"/>
      <c r="L50" s="34"/>
    </row>
    <row r="51" spans="1:12" ht="6" customHeight="1">
      <c r="A51" s="25"/>
      <c r="B51" s="26"/>
      <c r="C51" s="26"/>
      <c r="F51" s="27"/>
      <c r="G51" s="26"/>
      <c r="H51" s="26"/>
      <c r="I51" s="26"/>
      <c r="J51" s="26"/>
      <c r="K51" s="26"/>
      <c r="L51" s="26"/>
    </row>
    <row r="52" spans="1:12" s="37" customFormat="1" ht="12.75">
      <c r="A52" s="33" t="s">
        <v>46</v>
      </c>
      <c r="B52" s="34"/>
      <c r="C52" s="34" t="s">
        <v>34</v>
      </c>
      <c r="D52" s="35"/>
      <c r="E52" s="36"/>
      <c r="F52" s="34"/>
      <c r="G52" s="34"/>
      <c r="H52" s="34"/>
      <c r="I52" s="34"/>
      <c r="J52" s="34"/>
      <c r="K52" s="34"/>
      <c r="L52" s="34"/>
    </row>
    <row r="53" spans="1:12" s="37" customFormat="1" ht="12.75">
      <c r="A53" s="38"/>
      <c r="B53" s="34"/>
      <c r="C53" s="34" t="s">
        <v>35</v>
      </c>
      <c r="D53" s="35"/>
      <c r="E53" s="36"/>
      <c r="F53" s="34"/>
      <c r="G53" s="34"/>
      <c r="H53" s="34"/>
      <c r="I53" s="34"/>
      <c r="J53" s="34"/>
      <c r="K53" s="34"/>
      <c r="L53" s="34"/>
    </row>
    <row r="54" spans="1:12" ht="12.75">
      <c r="A54" s="28"/>
      <c r="B54" s="29"/>
      <c r="C54" s="29"/>
      <c r="D54" s="29"/>
      <c r="E54" s="29"/>
      <c r="F54" s="30"/>
      <c r="G54" s="29"/>
      <c r="H54" s="29"/>
      <c r="I54" s="29"/>
      <c r="J54" s="29"/>
      <c r="K54" s="29"/>
      <c r="L54" s="29"/>
    </row>
    <row r="55" spans="1:12" s="23" customFormat="1" ht="12.75">
      <c r="A55" s="113" t="s">
        <v>26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5"/>
    </row>
    <row r="56" ht="12.75">
      <c r="A56" s="24"/>
    </row>
    <row r="57" spans="1:12" ht="13.5">
      <c r="A57" s="31"/>
      <c r="B57" s="42"/>
      <c r="D57" s="43" t="s">
        <v>4</v>
      </c>
      <c r="E57" s="116" t="s">
        <v>48</v>
      </c>
      <c r="F57" s="116"/>
      <c r="G57" s="116"/>
      <c r="H57" s="116"/>
      <c r="I57" s="116"/>
      <c r="J57" s="116"/>
      <c r="K57" s="43" t="s">
        <v>5</v>
      </c>
      <c r="L57" s="43" t="s">
        <v>41</v>
      </c>
    </row>
    <row r="58" spans="1:12" ht="12.75">
      <c r="A58" s="32"/>
      <c r="B58" s="42"/>
      <c r="D58" s="44" t="s">
        <v>12</v>
      </c>
      <c r="E58" s="44" t="s">
        <v>49</v>
      </c>
      <c r="F58" s="44" t="s">
        <v>50</v>
      </c>
      <c r="G58" s="44" t="s">
        <v>51</v>
      </c>
      <c r="H58" s="45"/>
      <c r="I58" s="44" t="s">
        <v>53</v>
      </c>
      <c r="J58" s="44" t="s">
        <v>52</v>
      </c>
      <c r="K58" s="44" t="s">
        <v>14</v>
      </c>
      <c r="L58" s="44" t="s">
        <v>42</v>
      </c>
    </row>
    <row r="59" spans="1:12" ht="12.75">
      <c r="A59" s="24" t="s">
        <v>54</v>
      </c>
      <c r="B59" s="39"/>
      <c r="D59" s="40">
        <v>0.44</v>
      </c>
      <c r="E59" s="40">
        <v>0.235</v>
      </c>
      <c r="F59" s="40">
        <v>0.065</v>
      </c>
      <c r="G59" s="40">
        <v>0.01</v>
      </c>
      <c r="H59" s="41"/>
      <c r="I59" s="40">
        <v>0.03</v>
      </c>
      <c r="J59" s="40">
        <v>0.04</v>
      </c>
      <c r="K59" s="40">
        <v>0.08</v>
      </c>
      <c r="L59" s="40">
        <v>0.1</v>
      </c>
    </row>
    <row r="60" spans="1:12" ht="12.75">
      <c r="A60" s="24" t="s">
        <v>55</v>
      </c>
      <c r="B60" s="39"/>
      <c r="D60" s="40">
        <v>0.44</v>
      </c>
      <c r="E60" s="40">
        <v>0.2275</v>
      </c>
      <c r="F60" s="40">
        <v>0.07</v>
      </c>
      <c r="G60" s="40">
        <v>0.0125</v>
      </c>
      <c r="H60" s="41"/>
      <c r="I60" s="40">
        <v>0.03</v>
      </c>
      <c r="J60" s="40">
        <v>0.04</v>
      </c>
      <c r="K60" s="40">
        <v>0.08</v>
      </c>
      <c r="L60" s="40">
        <v>0.1</v>
      </c>
    </row>
    <row r="61" spans="1:12" ht="12.75">
      <c r="A61" s="24" t="s">
        <v>56</v>
      </c>
      <c r="B61" s="39"/>
      <c r="D61" s="40">
        <v>0.44</v>
      </c>
      <c r="E61" s="40">
        <v>0.22</v>
      </c>
      <c r="F61" s="40">
        <v>0.075</v>
      </c>
      <c r="G61" s="40">
        <v>0.015</v>
      </c>
      <c r="H61" s="41"/>
      <c r="I61" s="40">
        <v>0.03</v>
      </c>
      <c r="J61" s="40">
        <v>0.04</v>
      </c>
      <c r="K61" s="40">
        <v>0.08</v>
      </c>
      <c r="L61" s="40">
        <v>0.1</v>
      </c>
    </row>
    <row r="62" spans="2:12" ht="12.75">
      <c r="B62" s="39"/>
      <c r="D62" s="40"/>
      <c r="E62" s="40"/>
      <c r="F62" s="40"/>
      <c r="G62" s="40"/>
      <c r="H62" s="41"/>
      <c r="I62" s="40"/>
      <c r="J62" s="40"/>
      <c r="K62" s="40"/>
      <c r="L62" s="40"/>
    </row>
    <row r="64" ht="12.75">
      <c r="A64" s="48" t="s">
        <v>61</v>
      </c>
    </row>
  </sheetData>
  <sheetProtection/>
  <mergeCells count="10">
    <mergeCell ref="I10:L10"/>
    <mergeCell ref="A31:L31"/>
    <mergeCell ref="A55:L55"/>
    <mergeCell ref="E57:J57"/>
    <mergeCell ref="A1:L1"/>
    <mergeCell ref="A2:L2"/>
    <mergeCell ref="A3:L3"/>
    <mergeCell ref="A4:L4"/>
    <mergeCell ref="A5:L5"/>
    <mergeCell ref="A8:L8"/>
  </mergeCells>
  <hyperlinks>
    <hyperlink ref="A4" r:id="rId1" display="www.rwnewyork.com"/>
  </hyperlinks>
  <printOptions/>
  <pageMargins left="0.25" right="0.25" top="0.75" bottom="0.5" header="0.5" footer="0.5"/>
  <pageSetup fitToHeight="1" fitToWidth="1" horizontalDpi="600" verticalDpi="600" orientation="portrait" scale="76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9.28125" style="3" customWidth="1"/>
    <col min="2" max="2" width="14.140625" style="16" customWidth="1"/>
    <col min="3" max="3" width="13.421875" style="16" customWidth="1"/>
    <col min="4" max="4" width="14.140625" style="16" customWidth="1"/>
    <col min="5" max="5" width="12.7109375" style="16" customWidth="1"/>
    <col min="6" max="6" width="8.28125" style="17" bestFit="1" customWidth="1"/>
    <col min="7" max="7" width="10.7109375" style="16" customWidth="1"/>
    <col min="8" max="8" width="1.421875" style="16" customWidth="1"/>
    <col min="9" max="9" width="12.7109375" style="16" bestFit="1" customWidth="1"/>
    <col min="10" max="10" width="12.28125" style="16" customWidth="1"/>
    <col min="11" max="11" width="12.00390625" style="16" customWidth="1"/>
    <col min="12" max="12" width="12.28125" style="16" customWidth="1"/>
    <col min="13" max="13" width="12.7109375" style="0" customWidth="1"/>
  </cols>
  <sheetData>
    <row r="1" spans="1:12" ht="18">
      <c r="A1" s="117" t="s">
        <v>45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15">
      <c r="A2" s="118" t="s">
        <v>36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s="1" customFormat="1" ht="15">
      <c r="A3" s="118" t="s">
        <v>37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s="1" customFormat="1" ht="15">
      <c r="A4" s="109" t="s">
        <v>38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s="1" customFormat="1" ht="14.25">
      <c r="A5" s="119" t="s">
        <v>39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s="1" customFormat="1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s="1" customFormat="1" ht="12.75">
      <c r="A7" s="3"/>
      <c r="B7" s="4"/>
      <c r="C7" s="4"/>
      <c r="D7" s="4"/>
      <c r="E7" s="5"/>
      <c r="F7" s="6"/>
      <c r="G7" s="5"/>
      <c r="H7" s="5"/>
      <c r="I7" s="5"/>
      <c r="J7" s="5"/>
      <c r="K7" s="5"/>
      <c r="L7" s="5"/>
    </row>
    <row r="8" spans="1:12" s="7" customFormat="1" ht="14.25" customHeight="1">
      <c r="A8" s="113" t="s">
        <v>28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5"/>
    </row>
    <row r="9" spans="1:12" s="1" customFormat="1" ht="9" customHeight="1">
      <c r="A9" s="3"/>
      <c r="B9" s="4"/>
      <c r="C9" s="4"/>
      <c r="D9" s="4"/>
      <c r="E9" s="5"/>
      <c r="F9" s="6"/>
      <c r="G9" s="5"/>
      <c r="H9" s="5"/>
      <c r="I9" s="5"/>
      <c r="J9" s="5"/>
      <c r="K9" s="5"/>
      <c r="L9" s="5"/>
    </row>
    <row r="10" spans="1:12" s="1" customFormat="1" ht="12.75">
      <c r="A10" s="3"/>
      <c r="B10" s="5"/>
      <c r="C10" s="5"/>
      <c r="D10" s="5"/>
      <c r="E10" s="5"/>
      <c r="F10" s="6"/>
      <c r="G10" s="5"/>
      <c r="H10" s="5"/>
      <c r="I10" s="112" t="s">
        <v>0</v>
      </c>
      <c r="J10" s="112"/>
      <c r="K10" s="112"/>
      <c r="L10" s="112"/>
    </row>
    <row r="11" spans="1:12" s="1" customFormat="1" ht="7.5" customHeight="1">
      <c r="A11" s="3"/>
      <c r="B11" s="5"/>
      <c r="C11" s="5"/>
      <c r="D11" s="5"/>
      <c r="E11" s="5"/>
      <c r="F11" s="6"/>
      <c r="G11" s="5"/>
      <c r="H11" s="5"/>
      <c r="I11" s="5"/>
      <c r="J11" s="5"/>
      <c r="K11" s="5"/>
      <c r="L11" s="5"/>
    </row>
    <row r="12" spans="1:12" s="12" customFormat="1" ht="12">
      <c r="A12" s="9"/>
      <c r="B12" s="10" t="s">
        <v>1</v>
      </c>
      <c r="C12" s="10" t="s">
        <v>29</v>
      </c>
      <c r="D12" s="10" t="s">
        <v>1</v>
      </c>
      <c r="E12" s="10"/>
      <c r="F12" s="11" t="s">
        <v>2</v>
      </c>
      <c r="G12" s="10" t="s">
        <v>3</v>
      </c>
      <c r="H12" s="10"/>
      <c r="I12" s="10" t="s">
        <v>4</v>
      </c>
      <c r="J12" s="10" t="s">
        <v>40</v>
      </c>
      <c r="K12" s="10" t="s">
        <v>5</v>
      </c>
      <c r="L12" s="10" t="s">
        <v>41</v>
      </c>
    </row>
    <row r="13" spans="1:12" s="12" customFormat="1" ht="12">
      <c r="A13" s="13" t="s">
        <v>6</v>
      </c>
      <c r="B13" s="8" t="s">
        <v>7</v>
      </c>
      <c r="C13" s="8" t="s">
        <v>14</v>
      </c>
      <c r="D13" s="8" t="s">
        <v>8</v>
      </c>
      <c r="E13" s="8" t="s">
        <v>9</v>
      </c>
      <c r="F13" s="14" t="s">
        <v>10</v>
      </c>
      <c r="G13" s="8" t="s">
        <v>11</v>
      </c>
      <c r="H13" s="15"/>
      <c r="I13" s="8" t="s">
        <v>12</v>
      </c>
      <c r="J13" s="8" t="s">
        <v>13</v>
      </c>
      <c r="K13" s="8" t="s">
        <v>14</v>
      </c>
      <c r="L13" s="8" t="s">
        <v>42</v>
      </c>
    </row>
    <row r="15" spans="1:12" ht="12.75">
      <c r="A15" s="3">
        <v>40634</v>
      </c>
      <c r="B15" s="16">
        <v>0</v>
      </c>
      <c r="C15" s="16">
        <v>0</v>
      </c>
      <c r="D15" s="16">
        <f>+B15-C15-E15</f>
        <v>0</v>
      </c>
      <c r="E15" s="16">
        <v>0</v>
      </c>
      <c r="F15" s="17">
        <v>0</v>
      </c>
      <c r="G15" s="16">
        <v>0</v>
      </c>
      <c r="I15" s="16">
        <v>0</v>
      </c>
      <c r="J15" s="16">
        <v>0</v>
      </c>
      <c r="K15" s="16">
        <v>0</v>
      </c>
      <c r="L15" s="16">
        <v>0</v>
      </c>
    </row>
    <row r="16" spans="1:12" ht="12.75">
      <c r="A16" s="3">
        <v>40664</v>
      </c>
      <c r="B16" s="16">
        <v>0</v>
      </c>
      <c r="C16" s="16">
        <v>0</v>
      </c>
      <c r="D16" s="16">
        <f>B16-E16</f>
        <v>0</v>
      </c>
      <c r="E16" s="16">
        <v>0</v>
      </c>
      <c r="F16" s="17">
        <v>0</v>
      </c>
      <c r="G16" s="16">
        <v>0</v>
      </c>
      <c r="I16" s="16">
        <v>0</v>
      </c>
      <c r="J16" s="16">
        <v>0</v>
      </c>
      <c r="K16" s="16">
        <v>0</v>
      </c>
      <c r="L16" s="16">
        <v>0</v>
      </c>
    </row>
    <row r="17" spans="1:12" ht="12.75">
      <c r="A17" s="3">
        <v>40695</v>
      </c>
      <c r="B17" s="16">
        <v>0</v>
      </c>
      <c r="C17" s="16">
        <v>0</v>
      </c>
      <c r="D17" s="16">
        <f>B17-E17</f>
        <v>0</v>
      </c>
      <c r="E17" s="16">
        <v>0</v>
      </c>
      <c r="F17" s="17">
        <v>0</v>
      </c>
      <c r="G17" s="16">
        <v>0</v>
      </c>
      <c r="I17" s="16">
        <v>0</v>
      </c>
      <c r="J17" s="16">
        <v>0</v>
      </c>
      <c r="K17" s="16">
        <v>0</v>
      </c>
      <c r="L17" s="16">
        <v>0</v>
      </c>
    </row>
    <row r="18" spans="1:12" ht="12.75">
      <c r="A18" s="3">
        <v>40725</v>
      </c>
      <c r="B18" s="16">
        <v>0</v>
      </c>
      <c r="C18" s="16">
        <v>0</v>
      </c>
      <c r="D18" s="16">
        <f>B18-E18</f>
        <v>0</v>
      </c>
      <c r="E18" s="16">
        <v>0</v>
      </c>
      <c r="F18" s="17">
        <v>0</v>
      </c>
      <c r="G18" s="16">
        <v>0</v>
      </c>
      <c r="I18" s="16">
        <v>0</v>
      </c>
      <c r="J18" s="16">
        <v>0</v>
      </c>
      <c r="K18" s="16">
        <v>0</v>
      </c>
      <c r="L18" s="16">
        <v>0</v>
      </c>
    </row>
    <row r="19" spans="1:12" ht="12.75">
      <c r="A19" s="3">
        <v>40756</v>
      </c>
      <c r="B19" s="16">
        <v>0</v>
      </c>
      <c r="C19" s="16">
        <v>0</v>
      </c>
      <c r="D19" s="16">
        <f>B19-E19</f>
        <v>0</v>
      </c>
      <c r="E19" s="16">
        <v>0</v>
      </c>
      <c r="F19" s="17">
        <v>0</v>
      </c>
      <c r="G19" s="16">
        <v>0</v>
      </c>
      <c r="I19" s="16">
        <v>0</v>
      </c>
      <c r="J19" s="16">
        <v>0</v>
      </c>
      <c r="K19" s="16">
        <v>0</v>
      </c>
      <c r="L19" s="16">
        <v>0</v>
      </c>
    </row>
    <row r="20" spans="1:12" ht="12.75">
      <c r="A20" s="3">
        <v>40787</v>
      </c>
      <c r="B20" s="16">
        <v>0</v>
      </c>
      <c r="C20" s="16">
        <v>0</v>
      </c>
      <c r="D20" s="16">
        <f>B20-E20</f>
        <v>0</v>
      </c>
      <c r="E20" s="16">
        <v>0</v>
      </c>
      <c r="F20" s="17">
        <v>0</v>
      </c>
      <c r="G20" s="16">
        <v>0</v>
      </c>
      <c r="I20" s="16">
        <v>0</v>
      </c>
      <c r="J20" s="16">
        <v>0</v>
      </c>
      <c r="K20" s="16">
        <v>0</v>
      </c>
      <c r="L20" s="16">
        <v>0</v>
      </c>
    </row>
    <row r="21" spans="1:12" ht="12.75">
      <c r="A21" s="3">
        <v>40817</v>
      </c>
      <c r="B21" s="16">
        <v>74833880.46</v>
      </c>
      <c r="C21" s="16">
        <v>0</v>
      </c>
      <c r="D21" s="16">
        <f aca="true" t="shared" si="0" ref="D21:D26">+B21-E21-C21</f>
        <v>69012506.74</v>
      </c>
      <c r="E21" s="16">
        <v>5821373.72</v>
      </c>
      <c r="F21" s="17">
        <v>2486</v>
      </c>
      <c r="G21" s="16">
        <f>E21/F21/4</f>
        <v>585.4156999195494</v>
      </c>
      <c r="I21" s="16">
        <f aca="true" t="shared" si="1" ref="I21:I26">E21*0.44</f>
        <v>2561404.4368</v>
      </c>
      <c r="J21" s="16">
        <f aca="true" t="shared" si="2" ref="J21:J26">E21*0.38</f>
        <v>2212122.0135999997</v>
      </c>
      <c r="K21" s="16">
        <f>E21*0.08</f>
        <v>465709.89759999997</v>
      </c>
      <c r="L21" s="16">
        <f aca="true" t="shared" si="3" ref="L21:L26">E21*0.1</f>
        <v>582137.372</v>
      </c>
    </row>
    <row r="22" spans="1:12" ht="12.75">
      <c r="A22" s="3">
        <v>40848</v>
      </c>
      <c r="B22" s="16">
        <f>617896565.25-354111.57</f>
        <v>617542453.68</v>
      </c>
      <c r="C22" s="16">
        <v>25</v>
      </c>
      <c r="D22" s="16">
        <f t="shared" si="0"/>
        <v>576815679.78</v>
      </c>
      <c r="E22" s="16">
        <f>41080860.47-354111.57</f>
        <v>40726748.9</v>
      </c>
      <c r="F22" s="17">
        <f>74580/30</f>
        <v>2486</v>
      </c>
      <c r="G22" s="16">
        <f>E22/F22/30</f>
        <v>546.0813743631</v>
      </c>
      <c r="I22" s="16">
        <f t="shared" si="1"/>
        <v>17919769.516</v>
      </c>
      <c r="J22" s="16">
        <f t="shared" si="2"/>
        <v>15476164.582</v>
      </c>
      <c r="K22" s="16">
        <f>E22*0.08</f>
        <v>3258139.912</v>
      </c>
      <c r="L22" s="16">
        <f t="shared" si="3"/>
        <v>4072674.89</v>
      </c>
    </row>
    <row r="23" spans="1:12" ht="12.75">
      <c r="A23" s="3">
        <v>40878</v>
      </c>
      <c r="B23" s="16">
        <f>718554838.94+917792.66</f>
        <v>719472631.6</v>
      </c>
      <c r="C23" s="16">
        <v>346595.62</v>
      </c>
      <c r="D23" s="16">
        <f t="shared" si="0"/>
        <v>675816978.6700001</v>
      </c>
      <c r="E23" s="16">
        <f>42391264.65+917792.66</f>
        <v>43309057.309999995</v>
      </c>
      <c r="F23" s="17">
        <f>117290/31</f>
        <v>3783.548387096774</v>
      </c>
      <c r="G23" s="16">
        <f>E23/F23/31</f>
        <v>369.24765376417423</v>
      </c>
      <c r="I23" s="16">
        <f t="shared" si="1"/>
        <v>19055985.216399997</v>
      </c>
      <c r="J23" s="16">
        <f t="shared" si="2"/>
        <v>16457441.777799997</v>
      </c>
      <c r="K23" s="16">
        <f>E23*0.08</f>
        <v>3464724.5848</v>
      </c>
      <c r="L23" s="16">
        <f t="shared" si="3"/>
        <v>4330905.731</v>
      </c>
    </row>
    <row r="24" spans="1:12" ht="12.75">
      <c r="A24" s="3">
        <v>40909</v>
      </c>
      <c r="B24" s="16">
        <v>895114856.45</v>
      </c>
      <c r="C24" s="16">
        <v>1353316.83</v>
      </c>
      <c r="D24" s="16">
        <f t="shared" si="0"/>
        <v>843092095.01</v>
      </c>
      <c r="E24" s="16">
        <v>50669444.61</v>
      </c>
      <c r="F24" s="17">
        <f>155000/31</f>
        <v>5000</v>
      </c>
      <c r="G24" s="16">
        <f>E24/F24/31</f>
        <v>326.8996426451613</v>
      </c>
      <c r="I24" s="16">
        <f t="shared" si="1"/>
        <v>22294555.6284</v>
      </c>
      <c r="J24" s="16">
        <f t="shared" si="2"/>
        <v>19254388.9518</v>
      </c>
      <c r="K24" s="16">
        <v>4053555.6</v>
      </c>
      <c r="L24" s="16">
        <f t="shared" si="3"/>
        <v>5066944.461</v>
      </c>
    </row>
    <row r="25" spans="1:12" ht="12.75">
      <c r="A25" s="3">
        <v>40940</v>
      </c>
      <c r="B25" s="16">
        <v>1012270445.19</v>
      </c>
      <c r="C25" s="16">
        <v>2009276.03</v>
      </c>
      <c r="D25" s="16">
        <f t="shared" si="0"/>
        <v>956447683.6300001</v>
      </c>
      <c r="E25" s="16">
        <v>53813485.53</v>
      </c>
      <c r="F25" s="17">
        <f>144864/29</f>
        <v>4995.310344827586</v>
      </c>
      <c r="G25" s="16">
        <f>E25/F25/29</f>
        <v>371.475905193837</v>
      </c>
      <c r="I25" s="16">
        <f t="shared" si="1"/>
        <v>23677933.6332</v>
      </c>
      <c r="J25" s="16">
        <f t="shared" si="2"/>
        <v>20449124.5014</v>
      </c>
      <c r="K25" s="16">
        <v>4305078.83</v>
      </c>
      <c r="L25" s="16">
        <f t="shared" si="3"/>
        <v>5381348.553</v>
      </c>
    </row>
    <row r="26" spans="1:12" ht="12.75">
      <c r="A26" s="3">
        <v>40969</v>
      </c>
      <c r="B26" s="16">
        <v>1133823577.5</v>
      </c>
      <c r="C26" s="16">
        <v>2597863.19</v>
      </c>
      <c r="D26" s="16">
        <f t="shared" si="0"/>
        <v>1072268092</v>
      </c>
      <c r="E26" s="16">
        <v>58957622.31</v>
      </c>
      <c r="F26" s="17">
        <f>154752/31</f>
        <v>4992</v>
      </c>
      <c r="G26" s="16">
        <f>E26/F26/31</f>
        <v>380.98132696184865</v>
      </c>
      <c r="I26" s="16">
        <f t="shared" si="1"/>
        <v>25941353.816400003</v>
      </c>
      <c r="J26" s="16">
        <f t="shared" si="2"/>
        <v>22403896.4778</v>
      </c>
      <c r="K26" s="16">
        <v>4716609.77</v>
      </c>
      <c r="L26" s="16">
        <f t="shared" si="3"/>
        <v>5895762.231000001</v>
      </c>
    </row>
    <row r="27" spans="1:12" ht="13.5" thickBot="1">
      <c r="A27" s="3" t="s">
        <v>15</v>
      </c>
      <c r="B27" s="18">
        <f>SUM(B15:B26)</f>
        <v>4453057844.88</v>
      </c>
      <c r="C27" s="18">
        <f>SUM(C15:C26)</f>
        <v>6307076.67</v>
      </c>
      <c r="D27" s="18">
        <f>SUM(D15:D26)</f>
        <v>4193453035.83</v>
      </c>
      <c r="E27" s="18">
        <f>SUM(E15:E26)</f>
        <v>253297732.38</v>
      </c>
      <c r="I27" s="18">
        <f>SUM(I15:I26)</f>
        <v>111451002.24720001</v>
      </c>
      <c r="J27" s="18">
        <f>SUM(J15:J26)</f>
        <v>96253138.30440001</v>
      </c>
      <c r="K27" s="18">
        <f>SUM(K15:K26)</f>
        <v>20263818.5944</v>
      </c>
      <c r="L27" s="18">
        <f>SUM(L15:L26)</f>
        <v>25329773.237999998</v>
      </c>
    </row>
    <row r="28" spans="2:12" ht="10.5" customHeight="1" thickTop="1">
      <c r="B28" s="19"/>
      <c r="C28" s="19"/>
      <c r="D28" s="19"/>
      <c r="E28" s="19"/>
      <c r="I28" s="19"/>
      <c r="J28" s="19"/>
      <c r="K28" s="19"/>
      <c r="L28" s="19"/>
    </row>
    <row r="29" spans="1:12" s="22" customFormat="1" ht="12.75">
      <c r="A29" s="20"/>
      <c r="B29" s="21"/>
      <c r="C29" s="21">
        <f>C27/B27</f>
        <v>0.001416347348205166</v>
      </c>
      <c r="D29" s="21">
        <f>D27/B27</f>
        <v>0.9417019005606482</v>
      </c>
      <c r="E29" s="21">
        <f>E27/B27</f>
        <v>0.05688175209114666</v>
      </c>
      <c r="I29" s="21">
        <f>I27/$E$27</f>
        <v>0.44000000000000006</v>
      </c>
      <c r="J29" s="21">
        <f>J27/$E$27</f>
        <v>0.38000000000000006</v>
      </c>
      <c r="K29" s="21">
        <f>K27/$E$27</f>
        <v>0.08000000001579169</v>
      </c>
      <c r="L29" s="21">
        <f>L27/$E$27</f>
        <v>0.09999999999999999</v>
      </c>
    </row>
    <row r="31" spans="1:12" s="23" customFormat="1" ht="12.75">
      <c r="A31" s="113" t="s">
        <v>16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5"/>
    </row>
    <row r="32" ht="12.75">
      <c r="A32" s="24"/>
    </row>
    <row r="33" spans="1:12" s="37" customFormat="1" ht="12.75" customHeight="1">
      <c r="A33" s="33" t="s">
        <v>17</v>
      </c>
      <c r="B33" s="34"/>
      <c r="C33" s="46" t="s">
        <v>58</v>
      </c>
      <c r="D33" s="47"/>
      <c r="E33" s="47"/>
      <c r="F33" s="47"/>
      <c r="G33" s="47"/>
      <c r="H33" s="47"/>
      <c r="I33" s="47"/>
      <c r="J33" s="47"/>
      <c r="K33" s="47"/>
      <c r="L33" s="47"/>
    </row>
    <row r="34" spans="1:12" s="37" customFormat="1" ht="12.75" customHeight="1">
      <c r="A34" s="33"/>
      <c r="B34" s="34"/>
      <c r="C34" s="46" t="s">
        <v>59</v>
      </c>
      <c r="D34" s="47"/>
      <c r="E34" s="47"/>
      <c r="F34" s="47"/>
      <c r="G34" s="47"/>
      <c r="H34" s="47"/>
      <c r="I34" s="47"/>
      <c r="J34" s="47"/>
      <c r="K34" s="47"/>
      <c r="L34" s="47"/>
    </row>
    <row r="35" spans="1:12" ht="6" customHeight="1">
      <c r="A35" s="25"/>
      <c r="B35" s="26"/>
      <c r="C35" s="26"/>
      <c r="F35" s="26"/>
      <c r="G35" s="26"/>
      <c r="H35" s="26"/>
      <c r="I35" s="26"/>
      <c r="J35" s="26"/>
      <c r="K35" s="26"/>
      <c r="L35" s="26"/>
    </row>
    <row r="36" spans="1:13" ht="12.75">
      <c r="A36" s="25" t="s">
        <v>60</v>
      </c>
      <c r="B36" s="26"/>
      <c r="C36" s="26" t="s">
        <v>47</v>
      </c>
      <c r="F36" s="26"/>
      <c r="G36" s="26"/>
      <c r="H36" s="26"/>
      <c r="I36" s="26"/>
      <c r="J36" s="26"/>
      <c r="K36" s="26"/>
      <c r="L36" s="26"/>
      <c r="M36" s="26"/>
    </row>
    <row r="37" spans="1:12" ht="6" customHeight="1">
      <c r="A37" s="25"/>
      <c r="B37" s="26"/>
      <c r="C37" s="26"/>
      <c r="F37" s="26"/>
      <c r="G37" s="26"/>
      <c r="H37" s="26"/>
      <c r="I37" s="26"/>
      <c r="J37" s="26"/>
      <c r="K37" s="26"/>
      <c r="L37" s="26"/>
    </row>
    <row r="38" spans="1:12" ht="12.75">
      <c r="A38" s="25" t="s">
        <v>18</v>
      </c>
      <c r="B38" s="26"/>
      <c r="C38" s="26" t="s">
        <v>19</v>
      </c>
      <c r="F38" s="26"/>
      <c r="G38" s="26"/>
      <c r="H38" s="26"/>
      <c r="I38" s="26"/>
      <c r="J38" s="26"/>
      <c r="K38" s="26"/>
      <c r="L38" s="26"/>
    </row>
    <row r="39" spans="1:12" ht="6" customHeight="1">
      <c r="A39" s="25"/>
      <c r="B39" s="26"/>
      <c r="C39" s="26"/>
      <c r="F39" s="26"/>
      <c r="G39" s="26"/>
      <c r="H39" s="26"/>
      <c r="I39" s="26"/>
      <c r="J39" s="26"/>
      <c r="K39" s="26"/>
      <c r="L39" s="26"/>
    </row>
    <row r="40" spans="1:12" ht="12.75">
      <c r="A40" s="25" t="s">
        <v>20</v>
      </c>
      <c r="B40" s="26"/>
      <c r="C40" s="26" t="s">
        <v>21</v>
      </c>
      <c r="F40" s="27"/>
      <c r="G40" s="26"/>
      <c r="H40" s="26"/>
      <c r="I40" s="26"/>
      <c r="J40" s="26"/>
      <c r="K40" s="26"/>
      <c r="L40" s="26"/>
    </row>
    <row r="41" spans="1:12" ht="12.75">
      <c r="A41" s="25"/>
      <c r="B41" s="26"/>
      <c r="C41" s="26" t="s">
        <v>22</v>
      </c>
      <c r="F41" s="27"/>
      <c r="G41" s="26"/>
      <c r="H41" s="26"/>
      <c r="I41" s="26"/>
      <c r="J41" s="26"/>
      <c r="K41" s="26"/>
      <c r="L41" s="26"/>
    </row>
    <row r="42" spans="1:12" ht="6" customHeight="1">
      <c r="A42" s="25"/>
      <c r="B42" s="26"/>
      <c r="C42" s="26"/>
      <c r="F42" s="27"/>
      <c r="G42" s="26"/>
      <c r="H42" s="26"/>
      <c r="I42" s="26"/>
      <c r="J42" s="26"/>
      <c r="K42" s="26"/>
      <c r="L42" s="26"/>
    </row>
    <row r="43" spans="1:12" ht="12.75">
      <c r="A43" s="25" t="s">
        <v>23</v>
      </c>
      <c r="B43" s="26"/>
      <c r="C43" s="26" t="s">
        <v>24</v>
      </c>
      <c r="F43" s="27"/>
      <c r="G43" s="26"/>
      <c r="H43" s="26"/>
      <c r="I43" s="26"/>
      <c r="J43" s="26"/>
      <c r="K43" s="26"/>
      <c r="L43" s="26"/>
    </row>
    <row r="44" spans="1:12" ht="6" customHeight="1">
      <c r="A44" s="25"/>
      <c r="B44" s="26"/>
      <c r="C44" s="26"/>
      <c r="D44" s="26"/>
      <c r="F44" s="27"/>
      <c r="G44" s="26"/>
      <c r="H44" s="26"/>
      <c r="I44" s="26"/>
      <c r="J44" s="26"/>
      <c r="K44" s="26"/>
      <c r="L44" s="26"/>
    </row>
    <row r="45" spans="1:12" s="37" customFormat="1" ht="12.75">
      <c r="A45" s="33" t="s">
        <v>30</v>
      </c>
      <c r="B45" s="34"/>
      <c r="C45" s="34" t="s">
        <v>31</v>
      </c>
      <c r="D45" s="35"/>
      <c r="E45" s="36"/>
      <c r="F45" s="34"/>
      <c r="G45" s="34"/>
      <c r="H45" s="34"/>
      <c r="I45" s="34"/>
      <c r="J45" s="34"/>
      <c r="K45" s="34"/>
      <c r="L45" s="34"/>
    </row>
    <row r="46" spans="1:12" s="37" customFormat="1" ht="12.75">
      <c r="A46" s="33"/>
      <c r="B46" s="34"/>
      <c r="C46" s="34" t="s">
        <v>43</v>
      </c>
      <c r="D46" s="35"/>
      <c r="E46" s="36"/>
      <c r="F46" s="34"/>
      <c r="G46" s="34"/>
      <c r="H46" s="34"/>
      <c r="I46" s="34"/>
      <c r="J46" s="34"/>
      <c r="K46" s="34"/>
      <c r="L46" s="34"/>
    </row>
    <row r="47" spans="1:12" s="37" customFormat="1" ht="12.75">
      <c r="A47" s="33"/>
      <c r="B47" s="34"/>
      <c r="C47" s="34" t="s">
        <v>44</v>
      </c>
      <c r="D47" s="35"/>
      <c r="E47" s="36"/>
      <c r="F47" s="34"/>
      <c r="G47" s="34"/>
      <c r="H47" s="34"/>
      <c r="I47" s="34"/>
      <c r="J47" s="34"/>
      <c r="K47" s="34"/>
      <c r="L47" s="34"/>
    </row>
    <row r="48" spans="1:12" ht="6" customHeight="1">
      <c r="A48" s="25"/>
      <c r="B48" s="26"/>
      <c r="C48" s="26"/>
      <c r="D48" s="26"/>
      <c r="F48" s="27"/>
      <c r="G48" s="26"/>
      <c r="H48" s="26"/>
      <c r="I48" s="26"/>
      <c r="J48" s="26"/>
      <c r="K48" s="26"/>
      <c r="L48" s="26"/>
    </row>
    <row r="49" spans="1:12" s="37" customFormat="1" ht="12.75">
      <c r="A49" s="33" t="s">
        <v>25</v>
      </c>
      <c r="B49" s="34"/>
      <c r="C49" s="34" t="s">
        <v>32</v>
      </c>
      <c r="D49" s="35"/>
      <c r="E49" s="36"/>
      <c r="F49" s="34"/>
      <c r="G49" s="34"/>
      <c r="H49" s="34"/>
      <c r="I49" s="34"/>
      <c r="J49" s="34"/>
      <c r="K49" s="34"/>
      <c r="L49" s="34"/>
    </row>
    <row r="50" spans="1:12" s="37" customFormat="1" ht="12.75">
      <c r="A50" s="33"/>
      <c r="B50" s="34"/>
      <c r="C50" s="34" t="s">
        <v>33</v>
      </c>
      <c r="D50" s="35"/>
      <c r="E50" s="36"/>
      <c r="F50" s="34"/>
      <c r="G50" s="34"/>
      <c r="H50" s="34"/>
      <c r="I50" s="34"/>
      <c r="J50" s="34"/>
      <c r="K50" s="34"/>
      <c r="L50" s="34"/>
    </row>
    <row r="51" spans="1:12" ht="6" customHeight="1">
      <c r="A51" s="25"/>
      <c r="B51" s="26"/>
      <c r="C51" s="26"/>
      <c r="F51" s="27"/>
      <c r="G51" s="26"/>
      <c r="H51" s="26"/>
      <c r="I51" s="26"/>
      <c r="J51" s="26"/>
      <c r="K51" s="26"/>
      <c r="L51" s="26"/>
    </row>
    <row r="52" spans="1:12" s="37" customFormat="1" ht="12.75">
      <c r="A52" s="33" t="s">
        <v>46</v>
      </c>
      <c r="B52" s="34"/>
      <c r="C52" s="34" t="s">
        <v>34</v>
      </c>
      <c r="D52" s="35"/>
      <c r="E52" s="36"/>
      <c r="F52" s="34"/>
      <c r="G52" s="34"/>
      <c r="H52" s="34"/>
      <c r="I52" s="34"/>
      <c r="J52" s="34"/>
      <c r="K52" s="34"/>
      <c r="L52" s="34"/>
    </row>
    <row r="53" spans="1:12" s="37" customFormat="1" ht="12.75">
      <c r="A53" s="38"/>
      <c r="B53" s="34"/>
      <c r="C53" s="34" t="s">
        <v>35</v>
      </c>
      <c r="D53" s="35"/>
      <c r="E53" s="36"/>
      <c r="F53" s="34"/>
      <c r="G53" s="34"/>
      <c r="H53" s="34"/>
      <c r="I53" s="34"/>
      <c r="J53" s="34"/>
      <c r="K53" s="34"/>
      <c r="L53" s="34"/>
    </row>
    <row r="54" spans="1:12" ht="12.75">
      <c r="A54" s="28"/>
      <c r="B54" s="29"/>
      <c r="C54" s="29"/>
      <c r="D54" s="29"/>
      <c r="E54" s="29"/>
      <c r="F54" s="30"/>
      <c r="G54" s="29"/>
      <c r="H54" s="29"/>
      <c r="I54" s="29"/>
      <c r="J54" s="29"/>
      <c r="K54" s="29"/>
      <c r="L54" s="29"/>
    </row>
    <row r="55" spans="1:12" s="23" customFormat="1" ht="12.75">
      <c r="A55" s="113" t="s">
        <v>26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5"/>
    </row>
    <row r="56" ht="12.75">
      <c r="A56" s="24"/>
    </row>
    <row r="57" spans="1:12" ht="13.5">
      <c r="A57" s="31"/>
      <c r="B57" s="42"/>
      <c r="D57" s="43" t="s">
        <v>4</v>
      </c>
      <c r="E57" s="116" t="s">
        <v>48</v>
      </c>
      <c r="F57" s="116"/>
      <c r="G57" s="116"/>
      <c r="H57" s="116"/>
      <c r="I57" s="116"/>
      <c r="J57" s="116"/>
      <c r="K57" s="43" t="s">
        <v>5</v>
      </c>
      <c r="L57" s="43" t="s">
        <v>41</v>
      </c>
    </row>
    <row r="58" spans="1:12" ht="12.75">
      <c r="A58" s="32"/>
      <c r="B58" s="42"/>
      <c r="D58" s="44" t="s">
        <v>12</v>
      </c>
      <c r="E58" s="44" t="s">
        <v>49</v>
      </c>
      <c r="F58" s="44" t="s">
        <v>50</v>
      </c>
      <c r="G58" s="44" t="s">
        <v>51</v>
      </c>
      <c r="H58" s="45"/>
      <c r="I58" s="44" t="s">
        <v>53</v>
      </c>
      <c r="J58" s="44" t="s">
        <v>52</v>
      </c>
      <c r="K58" s="44" t="s">
        <v>14</v>
      </c>
      <c r="L58" s="44" t="s">
        <v>42</v>
      </c>
    </row>
    <row r="59" spans="1:12" ht="12.75">
      <c r="A59" s="24" t="s">
        <v>54</v>
      </c>
      <c r="B59" s="39"/>
      <c r="D59" s="40">
        <v>0.44</v>
      </c>
      <c r="E59" s="40">
        <v>0.235</v>
      </c>
      <c r="F59" s="40">
        <v>0.065</v>
      </c>
      <c r="G59" s="40">
        <v>0.01</v>
      </c>
      <c r="H59" s="41"/>
      <c r="I59" s="40">
        <v>0.03</v>
      </c>
      <c r="J59" s="40">
        <v>0.04</v>
      </c>
      <c r="K59" s="40">
        <v>0.08</v>
      </c>
      <c r="L59" s="40">
        <v>0.1</v>
      </c>
    </row>
    <row r="60" spans="1:12" ht="12.75">
      <c r="A60" s="24" t="s">
        <v>55</v>
      </c>
      <c r="B60" s="39"/>
      <c r="D60" s="40">
        <v>0.44</v>
      </c>
      <c r="E60" s="40">
        <v>0.2275</v>
      </c>
      <c r="F60" s="40">
        <v>0.07</v>
      </c>
      <c r="G60" s="40">
        <v>0.0125</v>
      </c>
      <c r="H60" s="41"/>
      <c r="I60" s="40">
        <v>0.03</v>
      </c>
      <c r="J60" s="40">
        <v>0.04</v>
      </c>
      <c r="K60" s="40">
        <v>0.08</v>
      </c>
      <c r="L60" s="40">
        <v>0.1</v>
      </c>
    </row>
    <row r="61" spans="1:12" ht="12.75">
      <c r="A61" s="24" t="s">
        <v>56</v>
      </c>
      <c r="B61" s="39"/>
      <c r="D61" s="40">
        <v>0.44</v>
      </c>
      <c r="E61" s="40">
        <v>0.22</v>
      </c>
      <c r="F61" s="40">
        <v>0.075</v>
      </c>
      <c r="G61" s="40">
        <v>0.015</v>
      </c>
      <c r="H61" s="41"/>
      <c r="I61" s="40">
        <v>0.03</v>
      </c>
      <c r="J61" s="40">
        <v>0.04</v>
      </c>
      <c r="K61" s="40">
        <v>0.08</v>
      </c>
      <c r="L61" s="40">
        <v>0.1</v>
      </c>
    </row>
    <row r="62" spans="2:12" ht="12.75">
      <c r="B62" s="39"/>
      <c r="D62" s="40"/>
      <c r="E62" s="40"/>
      <c r="F62" s="40"/>
      <c r="G62" s="40"/>
      <c r="H62" s="41"/>
      <c r="I62" s="40"/>
      <c r="J62" s="40"/>
      <c r="K62" s="40"/>
      <c r="L62" s="40"/>
    </row>
    <row r="64" ht="12.75">
      <c r="A64" s="24" t="s">
        <v>27</v>
      </c>
    </row>
  </sheetData>
  <sheetProtection/>
  <mergeCells count="10">
    <mergeCell ref="E57:J57"/>
    <mergeCell ref="A1:L1"/>
    <mergeCell ref="A2:L2"/>
    <mergeCell ref="A3:L3"/>
    <mergeCell ref="A4:L4"/>
    <mergeCell ref="A31:L31"/>
    <mergeCell ref="A55:L55"/>
    <mergeCell ref="I10:L10"/>
    <mergeCell ref="A8:L8"/>
    <mergeCell ref="A5:L5"/>
  </mergeCells>
  <hyperlinks>
    <hyperlink ref="A4" r:id="rId1" display="www.rwnewyork.com"/>
  </hyperlinks>
  <printOptions/>
  <pageMargins left="0.25" right="0.25" top="0.75" bottom="0.5" header="0.5" footer="0.5"/>
  <pageSetup fitToHeight="1" fitToWidth="1" horizontalDpi="600" verticalDpi="600" orientation="portrait" scale="7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zoomScalePageLayoutView="0" workbookViewId="0" topLeftCell="A1">
      <selection activeCell="I26" sqref="I26:K26"/>
    </sheetView>
  </sheetViews>
  <sheetFormatPr defaultColWidth="9.140625" defaultRowHeight="12.75"/>
  <cols>
    <col min="1" max="1" width="9.28125" style="57" customWidth="1"/>
    <col min="2" max="2" width="15.421875" style="55" bestFit="1" customWidth="1"/>
    <col min="3" max="3" width="13.140625" style="55" customWidth="1"/>
    <col min="4" max="4" width="15.421875" style="55" bestFit="1" customWidth="1"/>
    <col min="5" max="5" width="12.7109375" style="55" customWidth="1"/>
    <col min="6" max="6" width="10.28125" style="56" customWidth="1"/>
    <col min="7" max="7" width="10.28125" style="55" customWidth="1"/>
    <col min="8" max="8" width="2.28125" style="55" customWidth="1"/>
    <col min="9" max="9" width="14.00390625" style="55" customWidth="1"/>
    <col min="10" max="11" width="14.140625" style="55" customWidth="1"/>
    <col min="12" max="16384" width="9.140625" style="54" customWidth="1"/>
  </cols>
  <sheetData>
    <row r="1" spans="1:11" ht="18">
      <c r="A1" s="107" t="s">
        <v>45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15">
      <c r="A2" s="108" t="s">
        <v>36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s="92" customFormat="1" ht="15">
      <c r="A3" s="108" t="s">
        <v>37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 s="92" customFormat="1" ht="15">
      <c r="A4" s="109" t="s">
        <v>38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spans="1:11" s="92" customFormat="1" ht="14.25">
      <c r="A5" s="110" t="s">
        <v>39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</row>
    <row r="6" spans="1:11" s="92" customFormat="1" ht="14.2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</row>
    <row r="7" spans="1:11" s="92" customFormat="1" ht="12.75">
      <c r="A7" s="57"/>
      <c r="B7" s="95"/>
      <c r="C7" s="95"/>
      <c r="D7" s="95"/>
      <c r="E7" s="93"/>
      <c r="F7" s="94"/>
      <c r="G7" s="93"/>
      <c r="H7" s="93"/>
      <c r="I7" s="93"/>
      <c r="J7" s="93"/>
      <c r="K7" s="93"/>
    </row>
    <row r="8" spans="1:11" s="96" customFormat="1" ht="14.25" customHeight="1">
      <c r="A8" s="104" t="s">
        <v>90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</row>
    <row r="9" spans="1:11" s="92" customFormat="1" ht="9" customHeight="1">
      <c r="A9" s="57"/>
      <c r="B9" s="95"/>
      <c r="C9" s="95"/>
      <c r="D9" s="95"/>
      <c r="E9" s="93"/>
      <c r="F9" s="94"/>
      <c r="G9" s="93"/>
      <c r="H9" s="93"/>
      <c r="I9" s="93"/>
      <c r="J9" s="93"/>
      <c r="K9" s="93"/>
    </row>
    <row r="10" spans="1:11" s="92" customFormat="1" ht="12.75">
      <c r="A10" s="57"/>
      <c r="B10" s="93"/>
      <c r="C10" s="93"/>
      <c r="D10" s="93"/>
      <c r="E10" s="93"/>
      <c r="F10" s="94"/>
      <c r="G10" s="93"/>
      <c r="H10" s="93"/>
      <c r="I10" s="103" t="s">
        <v>0</v>
      </c>
      <c r="J10" s="103"/>
      <c r="K10" s="103"/>
    </row>
    <row r="11" spans="1:11" s="92" customFormat="1" ht="7.5" customHeight="1">
      <c r="A11" s="57"/>
      <c r="B11" s="93"/>
      <c r="C11" s="93"/>
      <c r="D11" s="93"/>
      <c r="E11" s="93"/>
      <c r="F11" s="94"/>
      <c r="G11" s="93"/>
      <c r="H11" s="93"/>
      <c r="I11" s="93"/>
      <c r="J11" s="93"/>
      <c r="K11" s="93"/>
    </row>
    <row r="12" spans="1:11" s="84" customFormat="1" ht="12">
      <c r="A12" s="91"/>
      <c r="B12" s="89" t="s">
        <v>1</v>
      </c>
      <c r="C12" s="89" t="s">
        <v>29</v>
      </c>
      <c r="D12" s="89" t="s">
        <v>1</v>
      </c>
      <c r="E12" s="89"/>
      <c r="F12" s="90" t="s">
        <v>2</v>
      </c>
      <c r="G12" s="89" t="s">
        <v>3</v>
      </c>
      <c r="H12" s="89"/>
      <c r="I12" s="89" t="s">
        <v>4</v>
      </c>
      <c r="J12" s="89" t="s">
        <v>41</v>
      </c>
      <c r="K12" s="89" t="s">
        <v>40</v>
      </c>
    </row>
    <row r="13" spans="1:11" s="84" customFormat="1" ht="12">
      <c r="A13" s="88" t="s">
        <v>6</v>
      </c>
      <c r="B13" s="85" t="s">
        <v>7</v>
      </c>
      <c r="C13" s="85" t="s">
        <v>14</v>
      </c>
      <c r="D13" s="85" t="s">
        <v>8</v>
      </c>
      <c r="E13" s="85" t="s">
        <v>9</v>
      </c>
      <c r="F13" s="87" t="s">
        <v>10</v>
      </c>
      <c r="G13" s="85" t="s">
        <v>11</v>
      </c>
      <c r="H13" s="86"/>
      <c r="I13" s="85" t="s">
        <v>12</v>
      </c>
      <c r="J13" s="85" t="s">
        <v>42</v>
      </c>
      <c r="K13" s="85" t="s">
        <v>13</v>
      </c>
    </row>
    <row r="15" spans="1:11" ht="12.75">
      <c r="A15" s="57">
        <v>45017</v>
      </c>
      <c r="B15" s="55">
        <v>740308388.71</v>
      </c>
      <c r="C15" s="55">
        <v>2122490.44</v>
      </c>
      <c r="D15" s="55">
        <f aca="true" t="shared" si="0" ref="D15:D26">IF(ISBLANK(B15),"",B15-C15-E15)</f>
        <v>681400762.54</v>
      </c>
      <c r="E15" s="55">
        <v>56785135.72999999</v>
      </c>
      <c r="F15" s="56">
        <v>5130</v>
      </c>
      <c r="G15" s="55">
        <f>_xlfn.IFERROR((E15/F15/30)," ")</f>
        <v>368.9742412605587</v>
      </c>
      <c r="I15" s="55">
        <v>22714054.299999997</v>
      </c>
      <c r="J15" s="55">
        <v>5678513.57</v>
      </c>
      <c r="K15" s="55">
        <v>28392567.910000008</v>
      </c>
    </row>
    <row r="16" spans="1:11" ht="12.75">
      <c r="A16" s="57">
        <v>45047</v>
      </c>
      <c r="B16" s="55">
        <v>742923744.4000001</v>
      </c>
      <c r="C16" s="55">
        <v>2095028.64</v>
      </c>
      <c r="D16" s="55">
        <f t="shared" si="0"/>
        <v>682686058.7800001</v>
      </c>
      <c r="E16" s="55">
        <v>58142656.980000004</v>
      </c>
      <c r="F16" s="56">
        <v>5125</v>
      </c>
      <c r="G16" s="55">
        <f>_xlfn.IFERROR((E16/F16/31)," ")</f>
        <v>365.964796097561</v>
      </c>
      <c r="I16" s="55">
        <v>23257062.789999995</v>
      </c>
      <c r="J16" s="55">
        <v>5814265.6899999995</v>
      </c>
      <c r="K16" s="55">
        <v>29071328.5</v>
      </c>
    </row>
    <row r="17" spans="1:11" ht="12.75">
      <c r="A17" s="57">
        <v>45078</v>
      </c>
      <c r="B17" s="55">
        <v>720537938.8800001</v>
      </c>
      <c r="C17" s="55">
        <v>2010091.16</v>
      </c>
      <c r="D17" s="55">
        <f t="shared" si="0"/>
        <v>664004701.9000001</v>
      </c>
      <c r="E17" s="55">
        <v>54523145.820000015</v>
      </c>
      <c r="F17" s="56">
        <v>5121</v>
      </c>
      <c r="G17" s="55">
        <f aca="true" t="shared" si="1" ref="G17:G22">_xlfn.IFERROR((E17/F17/30)," ")</f>
        <v>354.89908103885966</v>
      </c>
      <c r="I17" s="55">
        <v>21809258.31</v>
      </c>
      <c r="J17" s="55">
        <v>5452314.6</v>
      </c>
      <c r="K17" s="55">
        <v>27261572.88</v>
      </c>
    </row>
    <row r="18" spans="1:11" ht="12.75">
      <c r="A18" s="57">
        <v>45108</v>
      </c>
      <c r="B18" s="55">
        <v>766684931.76</v>
      </c>
      <c r="C18" s="55">
        <v>2084720.5099999998</v>
      </c>
      <c r="D18" s="55">
        <f t="shared" si="0"/>
        <v>705815819.17</v>
      </c>
      <c r="E18" s="55">
        <v>58784392.080000006</v>
      </c>
      <c r="F18" s="56">
        <v>5099</v>
      </c>
      <c r="G18" s="55">
        <f>_xlfn.IFERROR((E18/F18/31)," ")</f>
        <v>371.890706463633</v>
      </c>
      <c r="I18" s="55">
        <v>23513756.84999999</v>
      </c>
      <c r="J18" s="55">
        <v>5878439.21</v>
      </c>
      <c r="K18" s="55">
        <v>29392196.030000005</v>
      </c>
    </row>
    <row r="19" spans="1:11" ht="12.75">
      <c r="A19" s="57">
        <v>45139</v>
      </c>
      <c r="B19" s="55">
        <v>732215992.8299999</v>
      </c>
      <c r="C19" s="55">
        <v>1915084.6700000002</v>
      </c>
      <c r="D19" s="55">
        <f t="shared" si="0"/>
        <v>674840782.28</v>
      </c>
      <c r="E19" s="55">
        <v>55460125.88</v>
      </c>
      <c r="F19" s="56">
        <v>4961</v>
      </c>
      <c r="G19" s="55">
        <f>_xlfn.IFERROR((E19/F19/31)," ")</f>
        <v>360.62010052603864</v>
      </c>
      <c r="I19" s="55">
        <v>22184050.370000005</v>
      </c>
      <c r="J19" s="55">
        <v>5546012.6</v>
      </c>
      <c r="K19" s="55">
        <v>27730062.959999997</v>
      </c>
    </row>
    <row r="20" spans="1:11" ht="12.75">
      <c r="A20" s="57">
        <v>45170</v>
      </c>
      <c r="B20" s="55">
        <v>750086263.3599999</v>
      </c>
      <c r="C20" s="55">
        <v>1893134.43</v>
      </c>
      <c r="D20" s="55">
        <f t="shared" si="0"/>
        <v>692689287.1899999</v>
      </c>
      <c r="E20" s="55">
        <v>55503841.74</v>
      </c>
      <c r="F20" s="56">
        <v>4942</v>
      </c>
      <c r="G20" s="55">
        <f t="shared" si="1"/>
        <v>374.3682836908135</v>
      </c>
      <c r="I20" s="55">
        <v>22201536.700000003</v>
      </c>
      <c r="J20" s="55">
        <v>5550384.1899999995</v>
      </c>
      <c r="K20" s="55">
        <v>27751920.880000003</v>
      </c>
    </row>
    <row r="21" spans="1:12" ht="12.75">
      <c r="A21" s="57">
        <v>45200</v>
      </c>
      <c r="B21" s="55">
        <v>699255545.8799999</v>
      </c>
      <c r="C21" s="55">
        <v>2181803.55</v>
      </c>
      <c r="D21" s="55">
        <f t="shared" si="0"/>
        <v>642490910.04</v>
      </c>
      <c r="E21" s="55">
        <v>54582832.29000001</v>
      </c>
      <c r="F21" s="56">
        <v>4917</v>
      </c>
      <c r="G21" s="55">
        <f>_xlfn.IFERROR((E21/F21/31)," ")</f>
        <v>358.09162608986605</v>
      </c>
      <c r="I21" s="55">
        <v>21833132.92</v>
      </c>
      <c r="J21" s="55">
        <v>5458283.240000001</v>
      </c>
      <c r="K21" s="55">
        <v>27291416.110000003</v>
      </c>
      <c r="L21" s="83"/>
    </row>
    <row r="22" spans="1:11" ht="12.75">
      <c r="A22" s="57">
        <v>45231</v>
      </c>
      <c r="B22" s="55">
        <v>674942000.8199999</v>
      </c>
      <c r="C22" s="55">
        <v>2005368.6499999997</v>
      </c>
      <c r="D22" s="55">
        <f t="shared" si="0"/>
        <v>620331981.43</v>
      </c>
      <c r="E22" s="55">
        <v>52604650.739999995</v>
      </c>
      <c r="F22" s="56">
        <v>4881</v>
      </c>
      <c r="G22" s="55">
        <f t="shared" si="1"/>
        <v>359.24776849006344</v>
      </c>
      <c r="I22" s="55">
        <v>21041860.289999995</v>
      </c>
      <c r="J22" s="55">
        <v>5260465.089999999</v>
      </c>
      <c r="K22" s="55">
        <v>26302325.360000003</v>
      </c>
    </row>
    <row r="23" spans="1:11" ht="12.75">
      <c r="A23" s="57">
        <v>45261</v>
      </c>
      <c r="B23" s="55">
        <v>741022576.9999998</v>
      </c>
      <c r="C23" s="55">
        <v>2218458.73</v>
      </c>
      <c r="D23" s="55">
        <f t="shared" si="0"/>
        <v>682499560.4599998</v>
      </c>
      <c r="E23" s="55">
        <v>56304557.81</v>
      </c>
      <c r="F23" s="56">
        <v>4989</v>
      </c>
      <c r="G23" s="55">
        <f>_xlfn.IFERROR((E23/F23/31)," ")</f>
        <v>364.05613517480396</v>
      </c>
      <c r="I23" s="55">
        <v>22521823.12</v>
      </c>
      <c r="J23" s="55">
        <v>5630455.79</v>
      </c>
      <c r="K23" s="55">
        <v>28152278.929999992</v>
      </c>
    </row>
    <row r="24" spans="1:11" ht="12.75">
      <c r="A24" s="57">
        <v>45292</v>
      </c>
      <c r="B24" s="55">
        <v>692053069.5800002</v>
      </c>
      <c r="C24" s="55">
        <v>2189491.96</v>
      </c>
      <c r="D24" s="55">
        <f t="shared" si="0"/>
        <v>636863190.6800001</v>
      </c>
      <c r="E24" s="55">
        <v>53000386.94</v>
      </c>
      <c r="F24" s="56">
        <v>4889</v>
      </c>
      <c r="G24" s="55">
        <f>_xlfn.IFERROR((E24/F24/31)," ")</f>
        <v>349.7013502332425</v>
      </c>
      <c r="I24" s="55">
        <v>21200154.77</v>
      </c>
      <c r="J24" s="55">
        <v>5300038.75</v>
      </c>
      <c r="K24" s="55">
        <v>26500193.449999996</v>
      </c>
    </row>
    <row r="25" spans="1:11" ht="12.75">
      <c r="A25" s="57">
        <v>45323</v>
      </c>
      <c r="B25" s="55">
        <v>723427793.8100002</v>
      </c>
      <c r="C25" s="55">
        <v>2196704.4699999997</v>
      </c>
      <c r="D25" s="55">
        <f t="shared" si="0"/>
        <v>665276086.9600002</v>
      </c>
      <c r="E25" s="55">
        <v>55955002.379999995</v>
      </c>
      <c r="F25" s="56">
        <v>4902</v>
      </c>
      <c r="G25" s="55">
        <f>_xlfn.IFERROR((E25/F25/29)," ")</f>
        <v>393.6113506098847</v>
      </c>
      <c r="I25" s="55">
        <v>22382000.96999999</v>
      </c>
      <c r="J25" s="55">
        <v>5595500.25</v>
      </c>
      <c r="K25" s="55">
        <v>27977501.210000005</v>
      </c>
    </row>
    <row r="26" spans="1:11" ht="12.75">
      <c r="A26" s="57">
        <v>45352</v>
      </c>
      <c r="B26" s="55">
        <v>804582108.92</v>
      </c>
      <c r="C26" s="55">
        <v>2454794.0600000005</v>
      </c>
      <c r="D26" s="55">
        <f t="shared" si="0"/>
        <v>740980244.62</v>
      </c>
      <c r="E26" s="55">
        <v>61147070.239999995</v>
      </c>
      <c r="F26" s="56">
        <v>4887</v>
      </c>
      <c r="G26" s="55">
        <f>_xlfn.IFERROR((E26/F26/31)," ")</f>
        <v>403.6190171422536</v>
      </c>
      <c r="I26" s="55">
        <v>24458828.090000004</v>
      </c>
      <c r="J26" s="55">
        <v>6114707.01</v>
      </c>
      <c r="K26" s="55">
        <v>30573535.110000007</v>
      </c>
    </row>
    <row r="27" spans="1:11" ht="13.5" thickBot="1">
      <c r="A27" s="82" t="s">
        <v>15</v>
      </c>
      <c r="B27" s="80">
        <f>SUM(B15:B26)</f>
        <v>8788040355.949999</v>
      </c>
      <c r="C27" s="80">
        <f>SUM(C15:C26)</f>
        <v>25367171.269999996</v>
      </c>
      <c r="D27" s="80">
        <f>SUM(D15:D26)</f>
        <v>8089879386.05</v>
      </c>
      <c r="E27" s="80">
        <f>SUM(E15:E26)</f>
        <v>672793798.63</v>
      </c>
      <c r="F27" s="53">
        <f>AVERAGE(F15:F26)</f>
        <v>4986.916666666667</v>
      </c>
      <c r="G27" s="51">
        <f>AVERAGE(G15:G26)</f>
        <v>368.75370473479825</v>
      </c>
      <c r="H27" s="81"/>
      <c r="I27" s="80">
        <f>SUM(I15:I26)</f>
        <v>269117519.48</v>
      </c>
      <c r="J27" s="80">
        <f>SUM(J15:J26)</f>
        <v>67279379.99</v>
      </c>
      <c r="K27" s="80">
        <f>SUM(K15:K26)</f>
        <v>336396899.33</v>
      </c>
    </row>
    <row r="28" spans="2:11" ht="10.5" customHeight="1" thickTop="1">
      <c r="B28" s="79"/>
      <c r="C28" s="79"/>
      <c r="D28" s="79"/>
      <c r="E28" s="79"/>
      <c r="I28" s="79"/>
      <c r="J28" s="79"/>
      <c r="K28" s="79"/>
    </row>
    <row r="29" spans="1:11" s="76" customFormat="1" ht="12.75">
      <c r="A29" s="78"/>
      <c r="B29" s="77"/>
      <c r="C29" s="77">
        <f>_xlfn.IFERROR(C27/B27,"")</f>
        <v>0.002886556074224783</v>
      </c>
      <c r="D29" s="77">
        <f>_xlfn.IFERROR(D27/B27,"")</f>
        <v>0.9205555571410975</v>
      </c>
      <c r="E29" s="77">
        <f>_xlfn.IFERROR(E27/B27,"")</f>
        <v>0.07655788678467784</v>
      </c>
      <c r="I29" s="77">
        <f>_xlfn.IFERROR(I27/$E$27,"")</f>
        <v>0.40000000004161756</v>
      </c>
      <c r="J29" s="77">
        <f>_xlfn.IFERROR(J27/$E$27,"")</f>
        <v>0.1000000001887651</v>
      </c>
      <c r="K29" s="77">
        <f>_xlfn.IFERROR(K27/$E$27,"")</f>
        <v>0.500000000022295</v>
      </c>
    </row>
    <row r="31" spans="1:11" s="69" customFormat="1" ht="12.75">
      <c r="A31" s="104" t="s">
        <v>16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</row>
    <row r="32" ht="12.75">
      <c r="A32" s="59"/>
    </row>
    <row r="33" spans="1:11" s="37" customFormat="1" ht="12.75" customHeight="1">
      <c r="A33" s="33" t="s">
        <v>17</v>
      </c>
      <c r="B33" s="34"/>
      <c r="C33" s="46" t="s">
        <v>58</v>
      </c>
      <c r="D33" s="47"/>
      <c r="E33" s="47"/>
      <c r="F33" s="47"/>
      <c r="G33" s="47"/>
      <c r="H33" s="47"/>
      <c r="I33" s="47"/>
      <c r="J33" s="47"/>
      <c r="K33" s="47"/>
    </row>
    <row r="34" spans="1:11" s="37" customFormat="1" ht="12.75" customHeight="1">
      <c r="A34" s="33"/>
      <c r="B34" s="34"/>
      <c r="C34" s="46" t="s">
        <v>59</v>
      </c>
      <c r="D34" s="47"/>
      <c r="E34" s="47"/>
      <c r="F34" s="47"/>
      <c r="G34" s="47"/>
      <c r="H34" s="47"/>
      <c r="I34" s="47"/>
      <c r="J34" s="47"/>
      <c r="K34" s="47"/>
    </row>
    <row r="35" spans="1:11" ht="6" customHeight="1">
      <c r="A35" s="75"/>
      <c r="B35" s="73"/>
      <c r="C35" s="73"/>
      <c r="F35" s="73"/>
      <c r="G35" s="73"/>
      <c r="H35" s="73"/>
      <c r="I35" s="73"/>
      <c r="J35" s="73"/>
      <c r="K35" s="73"/>
    </row>
    <row r="36" spans="1:11" ht="12.75">
      <c r="A36" s="75" t="s">
        <v>60</v>
      </c>
      <c r="B36" s="73"/>
      <c r="C36" s="73" t="s">
        <v>47</v>
      </c>
      <c r="F36" s="73"/>
      <c r="G36" s="73"/>
      <c r="H36" s="73"/>
      <c r="I36" s="73"/>
      <c r="J36" s="73"/>
      <c r="K36" s="73"/>
    </row>
    <row r="37" spans="1:11" ht="6" customHeight="1">
      <c r="A37" s="75"/>
      <c r="B37" s="73"/>
      <c r="C37" s="73"/>
      <c r="F37" s="73"/>
      <c r="G37" s="73"/>
      <c r="H37" s="73"/>
      <c r="I37" s="73"/>
      <c r="J37" s="73"/>
      <c r="K37" s="73"/>
    </row>
    <row r="38" spans="1:11" ht="12.75">
      <c r="A38" s="75" t="s">
        <v>18</v>
      </c>
      <c r="B38" s="73"/>
      <c r="C38" s="46" t="s">
        <v>63</v>
      </c>
      <c r="F38" s="73"/>
      <c r="G38" s="73"/>
      <c r="H38" s="73"/>
      <c r="I38" s="73"/>
      <c r="J38" s="73"/>
      <c r="K38" s="73"/>
    </row>
    <row r="39" spans="1:11" ht="6" customHeight="1">
      <c r="A39" s="75"/>
      <c r="B39" s="73"/>
      <c r="C39" s="73"/>
      <c r="F39" s="73"/>
      <c r="G39" s="73"/>
      <c r="H39" s="73"/>
      <c r="I39" s="73"/>
      <c r="J39" s="73"/>
      <c r="K39" s="73"/>
    </row>
    <row r="40" spans="1:11" ht="12.75">
      <c r="A40" s="75" t="s">
        <v>20</v>
      </c>
      <c r="B40" s="73"/>
      <c r="C40" s="73" t="s">
        <v>21</v>
      </c>
      <c r="F40" s="74"/>
      <c r="G40" s="73"/>
      <c r="H40" s="73"/>
      <c r="I40" s="73"/>
      <c r="J40" s="73"/>
      <c r="K40" s="73"/>
    </row>
    <row r="41" spans="1:11" ht="12.75">
      <c r="A41" s="75"/>
      <c r="B41" s="73"/>
      <c r="C41" s="73" t="s">
        <v>22</v>
      </c>
      <c r="F41" s="74"/>
      <c r="G41" s="73"/>
      <c r="H41" s="73"/>
      <c r="I41" s="73"/>
      <c r="J41" s="73"/>
      <c r="K41" s="73"/>
    </row>
    <row r="42" spans="1:11" ht="6" customHeight="1">
      <c r="A42" s="75"/>
      <c r="B42" s="73"/>
      <c r="C42" s="73"/>
      <c r="F42" s="74"/>
      <c r="G42" s="73"/>
      <c r="H42" s="73"/>
      <c r="I42" s="73"/>
      <c r="J42" s="73"/>
      <c r="K42" s="73"/>
    </row>
    <row r="43" spans="1:11" ht="12.75">
      <c r="A43" s="75" t="s">
        <v>23</v>
      </c>
      <c r="B43" s="73"/>
      <c r="C43" s="73" t="s">
        <v>24</v>
      </c>
      <c r="F43" s="74"/>
      <c r="G43" s="73"/>
      <c r="H43" s="73"/>
      <c r="I43" s="73"/>
      <c r="J43" s="73"/>
      <c r="K43" s="73"/>
    </row>
    <row r="44" spans="1:11" ht="6" customHeight="1">
      <c r="A44" s="75"/>
      <c r="B44" s="73"/>
      <c r="C44" s="73"/>
      <c r="D44" s="73"/>
      <c r="F44" s="74"/>
      <c r="G44" s="73"/>
      <c r="H44" s="73"/>
      <c r="I44" s="73"/>
      <c r="J44" s="73"/>
      <c r="K44" s="73"/>
    </row>
    <row r="45" spans="1:11" s="37" customFormat="1" ht="12.75">
      <c r="A45" s="33" t="s">
        <v>30</v>
      </c>
      <c r="B45" s="34"/>
      <c r="C45" s="34" t="s">
        <v>31</v>
      </c>
      <c r="D45" s="35"/>
      <c r="E45" s="36"/>
      <c r="F45" s="34"/>
      <c r="G45" s="34"/>
      <c r="H45" s="34"/>
      <c r="I45" s="34"/>
      <c r="J45" s="34"/>
      <c r="K45" s="34"/>
    </row>
    <row r="46" spans="1:11" s="37" customFormat="1" ht="12.75">
      <c r="A46" s="33"/>
      <c r="B46" s="34"/>
      <c r="C46" s="34" t="s">
        <v>43</v>
      </c>
      <c r="D46" s="35"/>
      <c r="E46" s="36"/>
      <c r="F46" s="34"/>
      <c r="G46" s="34"/>
      <c r="H46" s="34"/>
      <c r="I46" s="34"/>
      <c r="J46" s="34"/>
      <c r="K46" s="34"/>
    </row>
    <row r="47" spans="1:11" s="37" customFormat="1" ht="12.75">
      <c r="A47" s="33"/>
      <c r="B47" s="34"/>
      <c r="C47" s="34" t="s">
        <v>44</v>
      </c>
      <c r="D47" s="35"/>
      <c r="E47" s="36"/>
      <c r="F47" s="34"/>
      <c r="G47" s="34"/>
      <c r="H47" s="34"/>
      <c r="I47" s="34"/>
      <c r="J47" s="34"/>
      <c r="K47" s="34"/>
    </row>
    <row r="48" spans="1:11" s="37" customFormat="1" ht="3.75" customHeight="1">
      <c r="A48" s="33"/>
      <c r="B48" s="34"/>
      <c r="C48" s="34"/>
      <c r="D48" s="35"/>
      <c r="E48" s="36"/>
      <c r="F48" s="34"/>
      <c r="G48" s="34"/>
      <c r="H48" s="34"/>
      <c r="I48" s="34"/>
      <c r="J48" s="34"/>
      <c r="K48" s="34"/>
    </row>
    <row r="49" spans="1:11" s="37" customFormat="1" ht="12.75" customHeight="1">
      <c r="A49" s="33"/>
      <c r="B49" s="34"/>
      <c r="C49" s="100" t="s">
        <v>85</v>
      </c>
      <c r="D49" s="99"/>
      <c r="E49" s="36"/>
      <c r="F49" s="34"/>
      <c r="G49" s="34"/>
      <c r="H49" s="34"/>
      <c r="I49" s="34"/>
      <c r="J49" s="34"/>
      <c r="K49" s="34"/>
    </row>
    <row r="50" spans="1:11" s="37" customFormat="1" ht="12.75">
      <c r="A50" s="33"/>
      <c r="B50" s="34"/>
      <c r="C50" s="34" t="s">
        <v>84</v>
      </c>
      <c r="D50" s="99"/>
      <c r="E50" s="36"/>
      <c r="F50" s="34"/>
      <c r="G50" s="34"/>
      <c r="H50" s="34"/>
      <c r="I50" s="34"/>
      <c r="J50" s="34"/>
      <c r="K50" s="34"/>
    </row>
    <row r="51" spans="1:11" s="37" customFormat="1" ht="12.75">
      <c r="A51" s="33"/>
      <c r="B51" s="34"/>
      <c r="C51" s="34" t="s">
        <v>86</v>
      </c>
      <c r="D51" s="99"/>
      <c r="E51" s="36"/>
      <c r="F51" s="34"/>
      <c r="G51" s="34"/>
      <c r="H51" s="34"/>
      <c r="I51" s="34"/>
      <c r="J51" s="34"/>
      <c r="K51" s="34"/>
    </row>
    <row r="52" spans="1:11" ht="6" customHeight="1">
      <c r="A52" s="75"/>
      <c r="B52" s="73"/>
      <c r="C52" s="73"/>
      <c r="D52" s="73"/>
      <c r="F52" s="74"/>
      <c r="G52" s="73"/>
      <c r="H52" s="73"/>
      <c r="I52" s="73"/>
      <c r="J52" s="73"/>
      <c r="K52" s="73"/>
    </row>
    <row r="53" spans="1:11" s="37" customFormat="1" ht="12.75">
      <c r="A53" s="33" t="s">
        <v>46</v>
      </c>
      <c r="B53" s="34"/>
      <c r="C53" s="34" t="s">
        <v>34</v>
      </c>
      <c r="D53" s="35"/>
      <c r="E53" s="36"/>
      <c r="F53" s="34"/>
      <c r="G53" s="34"/>
      <c r="H53" s="34"/>
      <c r="I53" s="34"/>
      <c r="J53" s="34"/>
      <c r="K53" s="34"/>
    </row>
    <row r="54" spans="1:11" s="37" customFormat="1" ht="12.75">
      <c r="A54" s="38"/>
      <c r="B54" s="34"/>
      <c r="C54" s="34" t="s">
        <v>35</v>
      </c>
      <c r="D54" s="35"/>
      <c r="E54" s="36"/>
      <c r="F54" s="34"/>
      <c r="G54" s="34"/>
      <c r="H54" s="34"/>
      <c r="I54" s="34"/>
      <c r="J54" s="34"/>
      <c r="K54" s="34"/>
    </row>
    <row r="55" spans="1:11" ht="12.75">
      <c r="A55" s="72"/>
      <c r="B55" s="70"/>
      <c r="C55" s="70"/>
      <c r="D55" s="70"/>
      <c r="E55" s="70"/>
      <c r="F55" s="71"/>
      <c r="G55" s="70"/>
      <c r="H55" s="70"/>
      <c r="I55" s="70"/>
      <c r="J55" s="70"/>
      <c r="K55" s="70"/>
    </row>
    <row r="56" spans="1:11" s="69" customFormat="1" ht="12.75">
      <c r="A56" s="104" t="s">
        <v>26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</row>
    <row r="57" ht="12.75">
      <c r="A57" s="59"/>
    </row>
    <row r="58" spans="1:10" ht="13.5">
      <c r="A58" s="68"/>
      <c r="B58" s="65"/>
      <c r="C58" s="67" t="s">
        <v>4</v>
      </c>
      <c r="D58" s="67" t="s">
        <v>41</v>
      </c>
      <c r="E58" s="106" t="s">
        <v>48</v>
      </c>
      <c r="F58" s="106"/>
      <c r="G58" s="106"/>
      <c r="H58" s="106"/>
      <c r="I58" s="106"/>
      <c r="J58" s="106"/>
    </row>
    <row r="59" spans="1:10" ht="12.75">
      <c r="A59" s="66"/>
      <c r="B59" s="65"/>
      <c r="C59" s="63" t="s">
        <v>12</v>
      </c>
      <c r="D59" s="63" t="s">
        <v>42</v>
      </c>
      <c r="E59" s="63" t="s">
        <v>49</v>
      </c>
      <c r="F59" s="63" t="s">
        <v>50</v>
      </c>
      <c r="G59" s="63" t="s">
        <v>51</v>
      </c>
      <c r="H59" s="64"/>
      <c r="I59" s="63" t="s">
        <v>53</v>
      </c>
      <c r="J59" s="63" t="s">
        <v>52</v>
      </c>
    </row>
    <row r="60" spans="1:10" ht="12.75">
      <c r="A60" s="59"/>
      <c r="B60" s="62"/>
      <c r="C60" s="60">
        <v>0.4</v>
      </c>
      <c r="D60" s="60">
        <v>0.1</v>
      </c>
      <c r="E60" s="60">
        <v>0.34</v>
      </c>
      <c r="F60" s="60">
        <v>0.075</v>
      </c>
      <c r="G60" s="60">
        <v>0.015</v>
      </c>
      <c r="H60" s="61"/>
      <c r="I60" s="60">
        <v>0.03</v>
      </c>
      <c r="J60" s="60">
        <v>0.04</v>
      </c>
    </row>
    <row r="61" spans="2:11" ht="12.75">
      <c r="B61" s="62"/>
      <c r="D61" s="60"/>
      <c r="E61" s="60"/>
      <c r="F61" s="60"/>
      <c r="G61" s="60"/>
      <c r="H61" s="61"/>
      <c r="I61" s="60"/>
      <c r="J61" s="60"/>
      <c r="K61" s="60"/>
    </row>
    <row r="62" spans="1:11" ht="12.75">
      <c r="A62" s="59" t="s">
        <v>82</v>
      </c>
      <c r="B62" s="62"/>
      <c r="D62" s="60"/>
      <c r="E62" s="60"/>
      <c r="F62" s="60"/>
      <c r="G62" s="60"/>
      <c r="H62" s="61"/>
      <c r="I62" s="60"/>
      <c r="J62" s="60"/>
      <c r="K62" s="60"/>
    </row>
    <row r="63" spans="1:11" ht="12.75">
      <c r="A63" s="59"/>
      <c r="B63" s="62"/>
      <c r="D63" s="60"/>
      <c r="E63" s="60"/>
      <c r="F63" s="60"/>
      <c r="G63" s="60"/>
      <c r="H63" s="61"/>
      <c r="I63" s="60"/>
      <c r="J63" s="60"/>
      <c r="K63" s="60"/>
    </row>
    <row r="64" spans="1:11" ht="12.75">
      <c r="A64" s="59" t="s">
        <v>79</v>
      </c>
      <c r="B64" s="62"/>
      <c r="D64" s="60"/>
      <c r="E64" s="60"/>
      <c r="F64" s="60"/>
      <c r="G64" s="60"/>
      <c r="H64" s="61"/>
      <c r="I64" s="60"/>
      <c r="J64" s="60"/>
      <c r="K64" s="60"/>
    </row>
    <row r="65" ht="12.75">
      <c r="A65" s="59"/>
    </row>
    <row r="66" ht="13.5" customHeight="1">
      <c r="A66" s="101" t="s">
        <v>61</v>
      </c>
    </row>
  </sheetData>
  <sheetProtection/>
  <mergeCells count="10">
    <mergeCell ref="I10:K10"/>
    <mergeCell ref="A31:K31"/>
    <mergeCell ref="A56:K56"/>
    <mergeCell ref="E58:J58"/>
    <mergeCell ref="A1:K1"/>
    <mergeCell ref="A2:K2"/>
    <mergeCell ref="A3:K3"/>
    <mergeCell ref="A4:K4"/>
    <mergeCell ref="A5:K5"/>
    <mergeCell ref="A8:K8"/>
  </mergeCells>
  <hyperlinks>
    <hyperlink ref="A4" r:id="rId1" display="www.rwnewyork.com"/>
  </hyperlinks>
  <printOptions/>
  <pageMargins left="0.25" right="0.25" top="0.75" bottom="0.5" header="0.5" footer="0.5"/>
  <pageSetup fitToHeight="1" fitToWidth="1" horizontalDpi="600" verticalDpi="600" orientation="portrait" scale="79" r:id="rId3"/>
  <ignoredErrors>
    <ignoredError sqref="G20:G21 G22 G16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zoomScalePageLayoutView="0" workbookViewId="0" topLeftCell="A1">
      <selection activeCell="I26" sqref="I26:K26"/>
    </sheetView>
  </sheetViews>
  <sheetFormatPr defaultColWidth="9.140625" defaultRowHeight="12.75"/>
  <cols>
    <col min="1" max="1" width="9.28125" style="57" customWidth="1"/>
    <col min="2" max="2" width="15.421875" style="55" bestFit="1" customWidth="1"/>
    <col min="3" max="3" width="13.140625" style="55" customWidth="1"/>
    <col min="4" max="4" width="15.421875" style="55" bestFit="1" customWidth="1"/>
    <col min="5" max="5" width="12.7109375" style="55" customWidth="1"/>
    <col min="6" max="6" width="10.28125" style="56" customWidth="1"/>
    <col min="7" max="7" width="10.28125" style="55" customWidth="1"/>
    <col min="8" max="8" width="2.28125" style="55" customWidth="1"/>
    <col min="9" max="9" width="14.00390625" style="55" customWidth="1"/>
    <col min="10" max="11" width="14.140625" style="55" customWidth="1"/>
    <col min="12" max="16384" width="9.140625" style="54" customWidth="1"/>
  </cols>
  <sheetData>
    <row r="1" spans="1:11" ht="18">
      <c r="A1" s="107" t="s">
        <v>45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15">
      <c r="A2" s="108" t="s">
        <v>36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s="92" customFormat="1" ht="15">
      <c r="A3" s="108" t="s">
        <v>37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 s="92" customFormat="1" ht="15">
      <c r="A4" s="109" t="s">
        <v>38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spans="1:11" s="92" customFormat="1" ht="14.25">
      <c r="A5" s="110" t="s">
        <v>39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</row>
    <row r="6" spans="1:11" s="92" customFormat="1" ht="14.2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</row>
    <row r="7" spans="1:11" s="92" customFormat="1" ht="12.75">
      <c r="A7" s="57"/>
      <c r="B7" s="95"/>
      <c r="C7" s="95"/>
      <c r="D7" s="95"/>
      <c r="E7" s="93"/>
      <c r="F7" s="94"/>
      <c r="G7" s="93"/>
      <c r="H7" s="93"/>
      <c r="I7" s="93"/>
      <c r="J7" s="93"/>
      <c r="K7" s="93"/>
    </row>
    <row r="8" spans="1:11" s="96" customFormat="1" ht="14.25" customHeight="1">
      <c r="A8" s="104" t="s">
        <v>89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</row>
    <row r="9" spans="1:11" s="92" customFormat="1" ht="9" customHeight="1">
      <c r="A9" s="57"/>
      <c r="B9" s="95"/>
      <c r="C9" s="95"/>
      <c r="D9" s="95"/>
      <c r="E9" s="93"/>
      <c r="F9" s="94"/>
      <c r="G9" s="93"/>
      <c r="H9" s="93"/>
      <c r="I9" s="93"/>
      <c r="J9" s="93"/>
      <c r="K9" s="93"/>
    </row>
    <row r="10" spans="1:11" s="92" customFormat="1" ht="12.75">
      <c r="A10" s="57"/>
      <c r="B10" s="93"/>
      <c r="C10" s="93"/>
      <c r="D10" s="93"/>
      <c r="E10" s="93"/>
      <c r="F10" s="94"/>
      <c r="G10" s="93"/>
      <c r="H10" s="93"/>
      <c r="I10" s="103" t="s">
        <v>0</v>
      </c>
      <c r="J10" s="103"/>
      <c r="K10" s="103"/>
    </row>
    <row r="11" spans="1:11" s="92" customFormat="1" ht="7.5" customHeight="1">
      <c r="A11" s="57"/>
      <c r="B11" s="93"/>
      <c r="C11" s="93"/>
      <c r="D11" s="93"/>
      <c r="E11" s="93"/>
      <c r="F11" s="94"/>
      <c r="G11" s="93"/>
      <c r="H11" s="93"/>
      <c r="I11" s="93"/>
      <c r="J11" s="93"/>
      <c r="K11" s="93"/>
    </row>
    <row r="12" spans="1:11" s="84" customFormat="1" ht="12">
      <c r="A12" s="91"/>
      <c r="B12" s="89" t="s">
        <v>1</v>
      </c>
      <c r="C12" s="89" t="s">
        <v>29</v>
      </c>
      <c r="D12" s="89" t="s">
        <v>1</v>
      </c>
      <c r="E12" s="89"/>
      <c r="F12" s="90" t="s">
        <v>2</v>
      </c>
      <c r="G12" s="89" t="s">
        <v>3</v>
      </c>
      <c r="H12" s="89"/>
      <c r="I12" s="89" t="s">
        <v>4</v>
      </c>
      <c r="J12" s="89" t="s">
        <v>41</v>
      </c>
      <c r="K12" s="89" t="s">
        <v>40</v>
      </c>
    </row>
    <row r="13" spans="1:11" s="84" customFormat="1" ht="12">
      <c r="A13" s="88" t="s">
        <v>6</v>
      </c>
      <c r="B13" s="85" t="s">
        <v>7</v>
      </c>
      <c r="C13" s="85" t="s">
        <v>14</v>
      </c>
      <c r="D13" s="85" t="s">
        <v>8</v>
      </c>
      <c r="E13" s="85" t="s">
        <v>9</v>
      </c>
      <c r="F13" s="87" t="s">
        <v>10</v>
      </c>
      <c r="G13" s="85" t="s">
        <v>11</v>
      </c>
      <c r="H13" s="86"/>
      <c r="I13" s="85" t="s">
        <v>12</v>
      </c>
      <c r="J13" s="85" t="s">
        <v>42</v>
      </c>
      <c r="K13" s="85" t="s">
        <v>13</v>
      </c>
    </row>
    <row r="15" spans="1:11" ht="12.75">
      <c r="A15" s="57">
        <v>44652</v>
      </c>
      <c r="B15" s="55">
        <v>722867316.5899998</v>
      </c>
      <c r="C15" s="55">
        <v>2842505.4499999997</v>
      </c>
      <c r="D15" s="55">
        <f aca="true" t="shared" si="0" ref="D15:D26">IF(ISBLANK(B15),"",B15-C15-E15)</f>
        <v>665896887.6599997</v>
      </c>
      <c r="E15" s="55">
        <v>54127923.48000001</v>
      </c>
      <c r="F15" s="56">
        <v>5282</v>
      </c>
      <c r="G15" s="55">
        <f>_xlfn.IFERROR((E15/F15/30)," ")</f>
        <v>341.5872995077623</v>
      </c>
      <c r="I15" s="55">
        <v>21651169.380000003</v>
      </c>
      <c r="J15" s="55">
        <v>5412792.379999999</v>
      </c>
      <c r="K15" s="55">
        <v>27063961.720000006</v>
      </c>
    </row>
    <row r="16" spans="1:11" ht="12.75">
      <c r="A16" s="57">
        <v>44682</v>
      </c>
      <c r="B16" s="55">
        <v>720458295.9700001</v>
      </c>
      <c r="C16" s="55">
        <v>3497630.7299999995</v>
      </c>
      <c r="D16" s="55">
        <f t="shared" si="0"/>
        <v>662337048.4400002</v>
      </c>
      <c r="E16" s="55">
        <v>54623616.8</v>
      </c>
      <c r="F16" s="56">
        <v>5220</v>
      </c>
      <c r="G16" s="55">
        <f aca="true" t="shared" si="1" ref="G16:G22">_xlfn.IFERROR((E16/F16/30)," ")</f>
        <v>348.8098135376756</v>
      </c>
      <c r="I16" s="55">
        <v>21849446.72</v>
      </c>
      <c r="J16" s="55">
        <v>5462361.7</v>
      </c>
      <c r="K16" s="55">
        <v>27311808.39</v>
      </c>
    </row>
    <row r="17" spans="1:11" ht="12.75">
      <c r="A17" s="57">
        <v>44713</v>
      </c>
      <c r="B17" s="55">
        <v>702044848.4999999</v>
      </c>
      <c r="C17" s="55">
        <v>2850092.4300000006</v>
      </c>
      <c r="D17" s="55">
        <f t="shared" si="0"/>
        <v>647641282.66</v>
      </c>
      <c r="E17" s="55">
        <v>51553473.40999998</v>
      </c>
      <c r="F17" s="56">
        <v>5267</v>
      </c>
      <c r="G17" s="55">
        <f t="shared" si="1"/>
        <v>326.2671565723687</v>
      </c>
      <c r="I17" s="55">
        <v>20621389.379999995</v>
      </c>
      <c r="J17" s="55">
        <v>5155347.369999999</v>
      </c>
      <c r="K17" s="55">
        <v>25776736.72</v>
      </c>
    </row>
    <row r="18" spans="1:11" ht="12.75">
      <c r="A18" s="57">
        <v>44743</v>
      </c>
      <c r="B18" s="55">
        <v>801773807.35</v>
      </c>
      <c r="C18" s="55">
        <v>3729586.32</v>
      </c>
      <c r="D18" s="55">
        <f t="shared" si="0"/>
        <v>741412436.67</v>
      </c>
      <c r="E18" s="55">
        <v>56631784.36000002</v>
      </c>
      <c r="F18" s="56">
        <v>5305</v>
      </c>
      <c r="G18" s="55">
        <f>_xlfn.IFERROR((E18/F18/31)," ")</f>
        <v>344.36036824663296</v>
      </c>
      <c r="I18" s="55">
        <v>22652713.779999994</v>
      </c>
      <c r="J18" s="55">
        <v>5663178.429999999</v>
      </c>
      <c r="K18" s="55">
        <v>28315892.180000003</v>
      </c>
    </row>
    <row r="19" spans="1:11" ht="12.75">
      <c r="A19" s="57">
        <v>44774</v>
      </c>
      <c r="B19" s="55">
        <v>756027680.9099998</v>
      </c>
      <c r="C19" s="55">
        <v>2346504.3300000005</v>
      </c>
      <c r="D19" s="55">
        <f t="shared" si="0"/>
        <v>699339335.8399998</v>
      </c>
      <c r="E19" s="55">
        <v>54341840.74</v>
      </c>
      <c r="F19" s="56">
        <v>5182</v>
      </c>
      <c r="G19" s="55">
        <f>_xlfn.IFERROR((E19/F19/31)," ")</f>
        <v>338.2791594975163</v>
      </c>
      <c r="I19" s="55">
        <v>21736736.3</v>
      </c>
      <c r="J19" s="55">
        <v>5434184.079999998</v>
      </c>
      <c r="K19" s="55">
        <v>27170920.38</v>
      </c>
    </row>
    <row r="20" spans="1:11" ht="12.75">
      <c r="A20" s="57">
        <v>44805</v>
      </c>
      <c r="B20" s="55">
        <v>704100691.1500001</v>
      </c>
      <c r="C20" s="55">
        <v>2303315.0300000003</v>
      </c>
      <c r="D20" s="55">
        <f t="shared" si="0"/>
        <v>649542550.0100001</v>
      </c>
      <c r="E20" s="55">
        <v>52254826.10999999</v>
      </c>
      <c r="F20" s="56">
        <v>4961.3</v>
      </c>
      <c r="G20" s="55">
        <f t="shared" si="1"/>
        <v>351.0828889605546</v>
      </c>
      <c r="I20" s="55">
        <v>20901930.439999998</v>
      </c>
      <c r="J20" s="55">
        <v>5225482.630000001</v>
      </c>
      <c r="K20" s="55">
        <v>26127413.080000006</v>
      </c>
    </row>
    <row r="21" spans="1:12" ht="12.75">
      <c r="A21" s="57">
        <v>44835</v>
      </c>
      <c r="B21" s="55">
        <v>732369794.7900001</v>
      </c>
      <c r="C21" s="55">
        <v>2294215.68</v>
      </c>
      <c r="D21" s="55">
        <f t="shared" si="0"/>
        <v>676437880.1900002</v>
      </c>
      <c r="E21" s="55">
        <v>53637698.92</v>
      </c>
      <c r="F21" s="56">
        <v>4987</v>
      </c>
      <c r="G21" s="55">
        <f>_xlfn.IFERROR((E21/F21/31)," ")</f>
        <v>346.9517449885832</v>
      </c>
      <c r="I21" s="55">
        <v>21455079.579999994</v>
      </c>
      <c r="J21" s="55">
        <v>5363769.889999999</v>
      </c>
      <c r="K21" s="55">
        <v>26818849.47</v>
      </c>
      <c r="L21" s="83"/>
    </row>
    <row r="22" spans="1:11" ht="12.75">
      <c r="A22" s="57">
        <v>44866</v>
      </c>
      <c r="B22" s="55">
        <v>714635857.7499998</v>
      </c>
      <c r="C22" s="55">
        <v>1901485.86</v>
      </c>
      <c r="D22" s="55">
        <f t="shared" si="0"/>
        <v>661527784.3399998</v>
      </c>
      <c r="E22" s="55">
        <v>51206587.54999999</v>
      </c>
      <c r="F22" s="56">
        <v>5156</v>
      </c>
      <c r="G22" s="55">
        <f t="shared" si="1"/>
        <v>331.04853600982665</v>
      </c>
      <c r="I22" s="55">
        <v>20482635.01</v>
      </c>
      <c r="J22" s="55">
        <v>5120658.760000001</v>
      </c>
      <c r="K22" s="55">
        <v>25603293.77</v>
      </c>
    </row>
    <row r="23" spans="1:11" ht="12.75">
      <c r="A23" s="57">
        <v>44896</v>
      </c>
      <c r="B23" s="55">
        <v>763106148.28</v>
      </c>
      <c r="C23" s="55">
        <v>2151821.95</v>
      </c>
      <c r="D23" s="55">
        <f t="shared" si="0"/>
        <v>706819007.1899999</v>
      </c>
      <c r="E23" s="55">
        <v>54135319.14000001</v>
      </c>
      <c r="F23" s="56">
        <v>5162</v>
      </c>
      <c r="G23" s="55">
        <f>_xlfn.IFERROR((E23/F23/31)," ")</f>
        <v>338.2992284810839</v>
      </c>
      <c r="I23" s="55">
        <v>21654127.669999998</v>
      </c>
      <c r="J23" s="55">
        <v>5413531.899999999</v>
      </c>
      <c r="K23" s="55">
        <v>27067659.559999995</v>
      </c>
    </row>
    <row r="24" spans="1:11" ht="12.75">
      <c r="A24" s="57">
        <v>44927</v>
      </c>
      <c r="B24" s="55">
        <v>761337558.9700001</v>
      </c>
      <c r="C24" s="55">
        <v>2478347.69</v>
      </c>
      <c r="D24" s="55">
        <f t="shared" si="0"/>
        <v>701292900.9000001</v>
      </c>
      <c r="E24" s="55">
        <v>57566310.38</v>
      </c>
      <c r="F24" s="56">
        <v>5148</v>
      </c>
      <c r="G24" s="55">
        <f>_xlfn.IFERROR((E24/F24/31)," ")</f>
        <v>360.71828947038625</v>
      </c>
      <c r="I24" s="55">
        <v>23026524.139999997</v>
      </c>
      <c r="J24" s="55">
        <v>5756631.07</v>
      </c>
      <c r="K24" s="55">
        <v>28783155.190000005</v>
      </c>
    </row>
    <row r="25" spans="1:11" ht="12.75">
      <c r="A25" s="57">
        <v>44958</v>
      </c>
      <c r="B25" s="55">
        <v>692256715.6300001</v>
      </c>
      <c r="C25" s="55">
        <v>2118965.0100000002</v>
      </c>
      <c r="D25" s="55">
        <f t="shared" si="0"/>
        <v>636571585.9000001</v>
      </c>
      <c r="E25" s="55">
        <v>53566164.72</v>
      </c>
      <c r="F25" s="56">
        <v>5096</v>
      </c>
      <c r="G25" s="55">
        <f>_xlfn.IFERROR((E25/F25/28)," ")</f>
        <v>375.40763568064585</v>
      </c>
      <c r="I25" s="55">
        <v>21426465.869999997</v>
      </c>
      <c r="J25" s="55">
        <v>5356616.49</v>
      </c>
      <c r="K25" s="55">
        <v>26783082.350000005</v>
      </c>
    </row>
    <row r="26" spans="1:11" ht="12.75">
      <c r="A26" s="57">
        <v>44986</v>
      </c>
      <c r="B26" s="55">
        <v>778947877.4700001</v>
      </c>
      <c r="C26" s="55">
        <v>2124620.840000001</v>
      </c>
      <c r="D26" s="55">
        <f t="shared" si="0"/>
        <v>717842054.9100001</v>
      </c>
      <c r="E26" s="55">
        <v>58981201.720000006</v>
      </c>
      <c r="F26" s="56">
        <v>5125</v>
      </c>
      <c r="G26" s="55">
        <f>_xlfn.IFERROR((E26/F26/31)," ")</f>
        <v>371.2428117702597</v>
      </c>
      <c r="I26" s="55">
        <v>23592480.71</v>
      </c>
      <c r="J26" s="55">
        <v>5898120.160000001</v>
      </c>
      <c r="K26" s="55">
        <v>29490600.889999997</v>
      </c>
    </row>
    <row r="27" spans="1:11" ht="13.5" thickBot="1">
      <c r="A27" s="82" t="s">
        <v>15</v>
      </c>
      <c r="B27" s="80">
        <f>SUM(B15:B26)</f>
        <v>8849926593.359999</v>
      </c>
      <c r="C27" s="80">
        <f>SUM(C15:C26)</f>
        <v>30639091.32</v>
      </c>
      <c r="D27" s="80">
        <f>SUM(D15:D26)</f>
        <v>8166660754.709999</v>
      </c>
      <c r="E27" s="80">
        <f>SUM(E15:E26)</f>
        <v>652626747.3300002</v>
      </c>
      <c r="F27" s="53">
        <f>AVERAGE(F15:F26)</f>
        <v>5157.608333333334</v>
      </c>
      <c r="G27" s="51">
        <f>AVERAGE(G15:G26)</f>
        <v>347.8379110602746</v>
      </c>
      <c r="H27" s="81"/>
      <c r="I27" s="80">
        <f>SUM(I15:I26)</f>
        <v>261050698.97999996</v>
      </c>
      <c r="J27" s="80">
        <f>SUM(J15:J26)</f>
        <v>65262674.86</v>
      </c>
      <c r="K27" s="80">
        <f>SUM(K15:K26)</f>
        <v>326313373.70000005</v>
      </c>
    </row>
    <row r="28" spans="2:11" ht="10.5" customHeight="1" thickTop="1">
      <c r="B28" s="79"/>
      <c r="C28" s="79"/>
      <c r="D28" s="79"/>
      <c r="E28" s="79"/>
      <c r="I28" s="79"/>
      <c r="J28" s="79"/>
      <c r="K28" s="79"/>
    </row>
    <row r="29" spans="1:11" s="76" customFormat="1" ht="12.75">
      <c r="A29" s="78"/>
      <c r="B29" s="77"/>
      <c r="C29" s="77">
        <f>_xlfn.IFERROR(C27/B27,"")</f>
        <v>0.0034620729332363242</v>
      </c>
      <c r="D29" s="77">
        <f>_xlfn.IFERROR(D27/B27,"")</f>
        <v>0.9227941801051043</v>
      </c>
      <c r="E29" s="77">
        <f>_xlfn.IFERROR(E27/B27,"")</f>
        <v>0.0737437469616594</v>
      </c>
      <c r="I29" s="77">
        <f>_xlfn.IFERROR(I27/$E$27,"")</f>
        <v>0.40000000007354874</v>
      </c>
      <c r="J29" s="77">
        <f>_xlfn.IFERROR(J27/$E$27,"")</f>
        <v>0.10000000019459819</v>
      </c>
      <c r="K29" s="77">
        <f>_xlfn.IFERROR(K27/$E$27,"")</f>
        <v>0.5000000000536293</v>
      </c>
    </row>
    <row r="31" spans="1:11" s="69" customFormat="1" ht="12.75">
      <c r="A31" s="104" t="s">
        <v>16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</row>
    <row r="32" ht="12.75">
      <c r="A32" s="59"/>
    </row>
    <row r="33" spans="1:11" s="37" customFormat="1" ht="12.75" customHeight="1">
      <c r="A33" s="33" t="s">
        <v>17</v>
      </c>
      <c r="B33" s="34"/>
      <c r="C33" s="46" t="s">
        <v>58</v>
      </c>
      <c r="D33" s="47"/>
      <c r="E33" s="47"/>
      <c r="F33" s="47"/>
      <c r="G33" s="47"/>
      <c r="H33" s="47"/>
      <c r="I33" s="47"/>
      <c r="J33" s="47"/>
      <c r="K33" s="47"/>
    </row>
    <row r="34" spans="1:11" s="37" customFormat="1" ht="12.75" customHeight="1">
      <c r="A34" s="33"/>
      <c r="B34" s="34"/>
      <c r="C34" s="46" t="s">
        <v>59</v>
      </c>
      <c r="D34" s="47"/>
      <c r="E34" s="47"/>
      <c r="F34" s="47"/>
      <c r="G34" s="47"/>
      <c r="H34" s="47"/>
      <c r="I34" s="47"/>
      <c r="J34" s="47"/>
      <c r="K34" s="47"/>
    </row>
    <row r="35" spans="1:11" ht="6" customHeight="1">
      <c r="A35" s="75"/>
      <c r="B35" s="73"/>
      <c r="C35" s="73"/>
      <c r="F35" s="73"/>
      <c r="G35" s="73"/>
      <c r="H35" s="73"/>
      <c r="I35" s="73"/>
      <c r="J35" s="73"/>
      <c r="K35" s="73"/>
    </row>
    <row r="36" spans="1:11" ht="12.75">
      <c r="A36" s="75" t="s">
        <v>60</v>
      </c>
      <c r="B36" s="73"/>
      <c r="C36" s="73" t="s">
        <v>47</v>
      </c>
      <c r="F36" s="73"/>
      <c r="G36" s="73"/>
      <c r="H36" s="73"/>
      <c r="I36" s="73"/>
      <c r="J36" s="73"/>
      <c r="K36" s="73"/>
    </row>
    <row r="37" spans="1:11" ht="6" customHeight="1">
      <c r="A37" s="75"/>
      <c r="B37" s="73"/>
      <c r="C37" s="73"/>
      <c r="F37" s="73"/>
      <c r="G37" s="73"/>
      <c r="H37" s="73"/>
      <c r="I37" s="73"/>
      <c r="J37" s="73"/>
      <c r="K37" s="73"/>
    </row>
    <row r="38" spans="1:11" ht="12.75">
      <c r="A38" s="75" t="s">
        <v>18</v>
      </c>
      <c r="B38" s="73"/>
      <c r="C38" s="46" t="s">
        <v>63</v>
      </c>
      <c r="F38" s="73"/>
      <c r="G38" s="73"/>
      <c r="H38" s="73"/>
      <c r="I38" s="73"/>
      <c r="J38" s="73"/>
      <c r="K38" s="73"/>
    </row>
    <row r="39" spans="1:11" ht="6" customHeight="1">
      <c r="A39" s="75"/>
      <c r="B39" s="73"/>
      <c r="C39" s="73"/>
      <c r="F39" s="73"/>
      <c r="G39" s="73"/>
      <c r="H39" s="73"/>
      <c r="I39" s="73"/>
      <c r="J39" s="73"/>
      <c r="K39" s="73"/>
    </row>
    <row r="40" spans="1:11" ht="12.75">
      <c r="A40" s="75" t="s">
        <v>20</v>
      </c>
      <c r="B40" s="73"/>
      <c r="C40" s="73" t="s">
        <v>21</v>
      </c>
      <c r="F40" s="74"/>
      <c r="G40" s="73"/>
      <c r="H40" s="73"/>
      <c r="I40" s="73"/>
      <c r="J40" s="73"/>
      <c r="K40" s="73"/>
    </row>
    <row r="41" spans="1:11" ht="12.75">
      <c r="A41" s="75"/>
      <c r="B41" s="73"/>
      <c r="C41" s="73" t="s">
        <v>22</v>
      </c>
      <c r="F41" s="74"/>
      <c r="G41" s="73"/>
      <c r="H41" s="73"/>
      <c r="I41" s="73"/>
      <c r="J41" s="73"/>
      <c r="K41" s="73"/>
    </row>
    <row r="42" spans="1:11" ht="6" customHeight="1">
      <c r="A42" s="75"/>
      <c r="B42" s="73"/>
      <c r="C42" s="73"/>
      <c r="F42" s="74"/>
      <c r="G42" s="73"/>
      <c r="H42" s="73"/>
      <c r="I42" s="73"/>
      <c r="J42" s="73"/>
      <c r="K42" s="73"/>
    </row>
    <row r="43" spans="1:11" ht="12.75">
      <c r="A43" s="75" t="s">
        <v>23</v>
      </c>
      <c r="B43" s="73"/>
      <c r="C43" s="73" t="s">
        <v>24</v>
      </c>
      <c r="F43" s="74"/>
      <c r="G43" s="73"/>
      <c r="H43" s="73"/>
      <c r="I43" s="73"/>
      <c r="J43" s="73"/>
      <c r="K43" s="73"/>
    </row>
    <row r="44" spans="1:11" ht="6" customHeight="1">
      <c r="A44" s="75"/>
      <c r="B44" s="73"/>
      <c r="C44" s="73"/>
      <c r="D44" s="73"/>
      <c r="F44" s="74"/>
      <c r="G44" s="73"/>
      <c r="H44" s="73"/>
      <c r="I44" s="73"/>
      <c r="J44" s="73"/>
      <c r="K44" s="73"/>
    </row>
    <row r="45" spans="1:11" s="37" customFormat="1" ht="12.75">
      <c r="A45" s="33" t="s">
        <v>30</v>
      </c>
      <c r="B45" s="34"/>
      <c r="C45" s="34" t="s">
        <v>31</v>
      </c>
      <c r="D45" s="35"/>
      <c r="E45" s="36"/>
      <c r="F45" s="34"/>
      <c r="G45" s="34"/>
      <c r="H45" s="34"/>
      <c r="I45" s="34"/>
      <c r="J45" s="34"/>
      <c r="K45" s="34"/>
    </row>
    <row r="46" spans="1:11" s="37" customFormat="1" ht="12.75">
      <c r="A46" s="33"/>
      <c r="B46" s="34"/>
      <c r="C46" s="34" t="s">
        <v>43</v>
      </c>
      <c r="D46" s="35"/>
      <c r="E46" s="36"/>
      <c r="F46" s="34"/>
      <c r="G46" s="34"/>
      <c r="H46" s="34"/>
      <c r="I46" s="34"/>
      <c r="J46" s="34"/>
      <c r="K46" s="34"/>
    </row>
    <row r="47" spans="1:11" s="37" customFormat="1" ht="12.75">
      <c r="A47" s="33"/>
      <c r="B47" s="34"/>
      <c r="C47" s="34" t="s">
        <v>44</v>
      </c>
      <c r="D47" s="35"/>
      <c r="E47" s="36"/>
      <c r="F47" s="34"/>
      <c r="G47" s="34"/>
      <c r="H47" s="34"/>
      <c r="I47" s="34"/>
      <c r="J47" s="34"/>
      <c r="K47" s="34"/>
    </row>
    <row r="48" spans="1:11" s="37" customFormat="1" ht="3.75" customHeight="1">
      <c r="A48" s="33"/>
      <c r="B48" s="34"/>
      <c r="C48" s="34"/>
      <c r="D48" s="35"/>
      <c r="E48" s="36"/>
      <c r="F48" s="34"/>
      <c r="G48" s="34"/>
      <c r="H48" s="34"/>
      <c r="I48" s="34"/>
      <c r="J48" s="34"/>
      <c r="K48" s="34"/>
    </row>
    <row r="49" spans="1:11" s="37" customFormat="1" ht="12.75" customHeight="1">
      <c r="A49" s="33"/>
      <c r="B49" s="34"/>
      <c r="C49" s="100" t="s">
        <v>85</v>
      </c>
      <c r="D49" s="99"/>
      <c r="E49" s="36"/>
      <c r="F49" s="34"/>
      <c r="G49" s="34"/>
      <c r="H49" s="34"/>
      <c r="I49" s="34"/>
      <c r="J49" s="34"/>
      <c r="K49" s="34"/>
    </row>
    <row r="50" spans="1:11" s="37" customFormat="1" ht="12.75">
      <c r="A50" s="33"/>
      <c r="B50" s="34"/>
      <c r="C50" s="34" t="s">
        <v>84</v>
      </c>
      <c r="D50" s="99"/>
      <c r="E50" s="36"/>
      <c r="F50" s="34"/>
      <c r="G50" s="34"/>
      <c r="H50" s="34"/>
      <c r="I50" s="34"/>
      <c r="J50" s="34"/>
      <c r="K50" s="34"/>
    </row>
    <row r="51" spans="1:11" s="37" customFormat="1" ht="12.75">
      <c r="A51" s="33"/>
      <c r="B51" s="34"/>
      <c r="C51" s="34" t="s">
        <v>86</v>
      </c>
      <c r="D51" s="99"/>
      <c r="E51" s="36"/>
      <c r="F51" s="34"/>
      <c r="G51" s="34"/>
      <c r="H51" s="34"/>
      <c r="I51" s="34"/>
      <c r="J51" s="34"/>
      <c r="K51" s="34"/>
    </row>
    <row r="52" spans="1:11" ht="6" customHeight="1">
      <c r="A52" s="75"/>
      <c r="B52" s="73"/>
      <c r="C52" s="73"/>
      <c r="D52" s="73"/>
      <c r="F52" s="74"/>
      <c r="G52" s="73"/>
      <c r="H52" s="73"/>
      <c r="I52" s="73"/>
      <c r="J52" s="73"/>
      <c r="K52" s="73"/>
    </row>
    <row r="53" spans="1:11" s="37" customFormat="1" ht="12.75">
      <c r="A53" s="33" t="s">
        <v>46</v>
      </c>
      <c r="B53" s="34"/>
      <c r="C53" s="34" t="s">
        <v>34</v>
      </c>
      <c r="D53" s="35"/>
      <c r="E53" s="36"/>
      <c r="F53" s="34"/>
      <c r="G53" s="34"/>
      <c r="H53" s="34"/>
      <c r="I53" s="34"/>
      <c r="J53" s="34"/>
      <c r="K53" s="34"/>
    </row>
    <row r="54" spans="1:11" s="37" customFormat="1" ht="12.75">
      <c r="A54" s="38"/>
      <c r="B54" s="34"/>
      <c r="C54" s="34" t="s">
        <v>35</v>
      </c>
      <c r="D54" s="35"/>
      <c r="E54" s="36"/>
      <c r="F54" s="34"/>
      <c r="G54" s="34"/>
      <c r="H54" s="34"/>
      <c r="I54" s="34"/>
      <c r="J54" s="34"/>
      <c r="K54" s="34"/>
    </row>
    <row r="55" spans="1:11" ht="12.75">
      <c r="A55" s="72"/>
      <c r="B55" s="70"/>
      <c r="C55" s="70"/>
      <c r="D55" s="70"/>
      <c r="E55" s="70"/>
      <c r="F55" s="71"/>
      <c r="G55" s="70"/>
      <c r="H55" s="70"/>
      <c r="I55" s="70"/>
      <c r="J55" s="70"/>
      <c r="K55" s="70"/>
    </row>
    <row r="56" spans="1:11" s="69" customFormat="1" ht="12.75">
      <c r="A56" s="104" t="s">
        <v>26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</row>
    <row r="57" ht="12.75">
      <c r="A57" s="59"/>
    </row>
    <row r="58" spans="1:10" ht="13.5">
      <c r="A58" s="68"/>
      <c r="B58" s="65"/>
      <c r="C58" s="67" t="s">
        <v>4</v>
      </c>
      <c r="D58" s="67" t="s">
        <v>41</v>
      </c>
      <c r="E58" s="106" t="s">
        <v>48</v>
      </c>
      <c r="F58" s="106"/>
      <c r="G58" s="106"/>
      <c r="H58" s="106"/>
      <c r="I58" s="106"/>
      <c r="J58" s="106"/>
    </row>
    <row r="59" spans="1:10" ht="12.75">
      <c r="A59" s="66"/>
      <c r="B59" s="65"/>
      <c r="C59" s="63" t="s">
        <v>12</v>
      </c>
      <c r="D59" s="63" t="s">
        <v>42</v>
      </c>
      <c r="E59" s="63" t="s">
        <v>49</v>
      </c>
      <c r="F59" s="63" t="s">
        <v>50</v>
      </c>
      <c r="G59" s="63" t="s">
        <v>51</v>
      </c>
      <c r="H59" s="64"/>
      <c r="I59" s="63" t="s">
        <v>53</v>
      </c>
      <c r="J59" s="63" t="s">
        <v>52</v>
      </c>
    </row>
    <row r="60" spans="1:10" ht="12.75">
      <c r="A60" s="59"/>
      <c r="B60" s="62"/>
      <c r="C60" s="60">
        <v>0.4</v>
      </c>
      <c r="D60" s="60">
        <v>0.1</v>
      </c>
      <c r="E60" s="60">
        <v>0.34</v>
      </c>
      <c r="F60" s="60">
        <v>0.075</v>
      </c>
      <c r="G60" s="60">
        <v>0.015</v>
      </c>
      <c r="H60" s="61"/>
      <c r="I60" s="60">
        <v>0.03</v>
      </c>
      <c r="J60" s="60">
        <v>0.04</v>
      </c>
    </row>
    <row r="61" spans="2:11" ht="12.75">
      <c r="B61" s="62"/>
      <c r="D61" s="60"/>
      <c r="E61" s="60"/>
      <c r="F61" s="60"/>
      <c r="G61" s="60"/>
      <c r="H61" s="61"/>
      <c r="I61" s="60"/>
      <c r="J61" s="60"/>
      <c r="K61" s="60"/>
    </row>
    <row r="62" spans="1:11" ht="12.75">
      <c r="A62" s="59" t="s">
        <v>82</v>
      </c>
      <c r="B62" s="62"/>
      <c r="D62" s="60"/>
      <c r="E62" s="60"/>
      <c r="F62" s="60"/>
      <c r="G62" s="60"/>
      <c r="H62" s="61"/>
      <c r="I62" s="60"/>
      <c r="J62" s="60"/>
      <c r="K62" s="60"/>
    </row>
    <row r="63" spans="1:11" ht="12.75">
      <c r="A63" s="59"/>
      <c r="B63" s="62"/>
      <c r="D63" s="60"/>
      <c r="E63" s="60"/>
      <c r="F63" s="60"/>
      <c r="G63" s="60"/>
      <c r="H63" s="61"/>
      <c r="I63" s="60"/>
      <c r="J63" s="60"/>
      <c r="K63" s="60"/>
    </row>
    <row r="64" spans="1:11" ht="12.75">
      <c r="A64" s="59" t="s">
        <v>79</v>
      </c>
      <c r="B64" s="62"/>
      <c r="D64" s="60"/>
      <c r="E64" s="60"/>
      <c r="F64" s="60"/>
      <c r="G64" s="60"/>
      <c r="H64" s="61"/>
      <c r="I64" s="60"/>
      <c r="J64" s="60"/>
      <c r="K64" s="60"/>
    </row>
    <row r="65" ht="12.75">
      <c r="A65" s="59"/>
    </row>
    <row r="66" ht="13.5" customHeight="1">
      <c r="A66" s="101" t="s">
        <v>61</v>
      </c>
    </row>
  </sheetData>
  <sheetProtection/>
  <mergeCells count="10">
    <mergeCell ref="I10:K10"/>
    <mergeCell ref="A31:K31"/>
    <mergeCell ref="A56:K56"/>
    <mergeCell ref="E58:J58"/>
    <mergeCell ref="A1:K1"/>
    <mergeCell ref="A2:K2"/>
    <mergeCell ref="A3:K3"/>
    <mergeCell ref="A4:K4"/>
    <mergeCell ref="A5:K5"/>
    <mergeCell ref="A8:K8"/>
  </mergeCells>
  <hyperlinks>
    <hyperlink ref="A4" r:id="rId1" display="www.rwnewyork.com"/>
  </hyperlinks>
  <printOptions/>
  <pageMargins left="0.25" right="0.25" top="0.75" bottom="0.5" header="0.5" footer="0.5"/>
  <pageSetup fitToHeight="1" fitToWidth="1" horizontalDpi="600" verticalDpi="600" orientation="portrait" scale="79" r:id="rId3"/>
  <ignoredErrors>
    <ignoredError sqref="G20:G26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9.28125" style="57" customWidth="1"/>
    <col min="2" max="2" width="15.421875" style="55" bestFit="1" customWidth="1"/>
    <col min="3" max="3" width="13.140625" style="55" customWidth="1"/>
    <col min="4" max="4" width="15.421875" style="55" bestFit="1" customWidth="1"/>
    <col min="5" max="5" width="12.7109375" style="55" customWidth="1"/>
    <col min="6" max="6" width="10.28125" style="56" customWidth="1"/>
    <col min="7" max="7" width="10.28125" style="55" customWidth="1"/>
    <col min="8" max="8" width="2.28125" style="55" customWidth="1"/>
    <col min="9" max="9" width="14.00390625" style="55" customWidth="1"/>
    <col min="10" max="11" width="14.140625" style="55" customWidth="1"/>
    <col min="12" max="16384" width="9.140625" style="54" customWidth="1"/>
  </cols>
  <sheetData>
    <row r="1" spans="1:11" ht="18">
      <c r="A1" s="107" t="s">
        <v>45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15">
      <c r="A2" s="108" t="s">
        <v>36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s="92" customFormat="1" ht="15">
      <c r="A3" s="108" t="s">
        <v>37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 s="92" customFormat="1" ht="15">
      <c r="A4" s="109" t="s">
        <v>38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spans="1:11" s="92" customFormat="1" ht="14.25">
      <c r="A5" s="110" t="s">
        <v>39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</row>
    <row r="6" spans="1:11" s="92" customFormat="1" ht="14.2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</row>
    <row r="7" spans="1:11" s="92" customFormat="1" ht="12.75">
      <c r="A7" s="57"/>
      <c r="B7" s="95"/>
      <c r="C7" s="95"/>
      <c r="D7" s="95"/>
      <c r="E7" s="93"/>
      <c r="F7" s="94"/>
      <c r="G7" s="93"/>
      <c r="H7" s="93"/>
      <c r="I7" s="93"/>
      <c r="J7" s="93"/>
      <c r="K7" s="93"/>
    </row>
    <row r="8" spans="1:11" s="96" customFormat="1" ht="14.25" customHeight="1">
      <c r="A8" s="104" t="s">
        <v>88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</row>
    <row r="9" spans="1:11" s="92" customFormat="1" ht="9" customHeight="1">
      <c r="A9" s="57"/>
      <c r="B9" s="95"/>
      <c r="C9" s="95"/>
      <c r="D9" s="95"/>
      <c r="E9" s="93"/>
      <c r="F9" s="94"/>
      <c r="G9" s="93"/>
      <c r="H9" s="93"/>
      <c r="I9" s="93"/>
      <c r="J9" s="93"/>
      <c r="K9" s="93"/>
    </row>
    <row r="10" spans="1:11" s="92" customFormat="1" ht="12.75">
      <c r="A10" s="57"/>
      <c r="B10" s="93"/>
      <c r="C10" s="93"/>
      <c r="D10" s="93"/>
      <c r="E10" s="93"/>
      <c r="F10" s="94"/>
      <c r="G10" s="93"/>
      <c r="H10" s="93"/>
      <c r="I10" s="103" t="s">
        <v>0</v>
      </c>
      <c r="J10" s="103"/>
      <c r="K10" s="103"/>
    </row>
    <row r="11" spans="1:11" s="92" customFormat="1" ht="7.5" customHeight="1">
      <c r="A11" s="57"/>
      <c r="B11" s="93"/>
      <c r="C11" s="93"/>
      <c r="D11" s="93"/>
      <c r="E11" s="93"/>
      <c r="F11" s="94"/>
      <c r="G11" s="93"/>
      <c r="H11" s="93"/>
      <c r="I11" s="93"/>
      <c r="J11" s="93"/>
      <c r="K11" s="93"/>
    </row>
    <row r="12" spans="1:11" s="84" customFormat="1" ht="12">
      <c r="A12" s="91"/>
      <c r="B12" s="89" t="s">
        <v>1</v>
      </c>
      <c r="C12" s="89" t="s">
        <v>29</v>
      </c>
      <c r="D12" s="89" t="s">
        <v>1</v>
      </c>
      <c r="E12" s="89"/>
      <c r="F12" s="90" t="s">
        <v>2</v>
      </c>
      <c r="G12" s="89" t="s">
        <v>3</v>
      </c>
      <c r="H12" s="89"/>
      <c r="I12" s="89" t="s">
        <v>4</v>
      </c>
      <c r="J12" s="89" t="s">
        <v>41</v>
      </c>
      <c r="K12" s="89" t="s">
        <v>40</v>
      </c>
    </row>
    <row r="13" spans="1:11" s="84" customFormat="1" ht="12">
      <c r="A13" s="88" t="s">
        <v>6</v>
      </c>
      <c r="B13" s="85" t="s">
        <v>7</v>
      </c>
      <c r="C13" s="85" t="s">
        <v>14</v>
      </c>
      <c r="D13" s="85" t="s">
        <v>8</v>
      </c>
      <c r="E13" s="85" t="s">
        <v>9</v>
      </c>
      <c r="F13" s="87" t="s">
        <v>10</v>
      </c>
      <c r="G13" s="85" t="s">
        <v>11</v>
      </c>
      <c r="H13" s="86"/>
      <c r="I13" s="85" t="s">
        <v>12</v>
      </c>
      <c r="J13" s="85" t="s">
        <v>42</v>
      </c>
      <c r="K13" s="85" t="s">
        <v>13</v>
      </c>
    </row>
    <row r="15" spans="1:11" ht="12.75">
      <c r="A15" s="57">
        <v>44287</v>
      </c>
      <c r="B15" s="55">
        <v>781073964.88</v>
      </c>
      <c r="C15" s="55">
        <v>2558095.97</v>
      </c>
      <c r="D15" s="55">
        <f aca="true" t="shared" si="0" ref="D15:D26">IF(ISBLANK(B15),"",B15-C15-E15)</f>
        <v>721264590.68</v>
      </c>
      <c r="E15" s="55">
        <v>57251278.23</v>
      </c>
      <c r="F15" s="56">
        <v>3886.1</v>
      </c>
      <c r="G15" s="55">
        <f>_xlfn.IFERROR((E15/F15/30)," ")</f>
        <v>491.07741463163586</v>
      </c>
      <c r="I15" s="55">
        <v>22900511.29</v>
      </c>
      <c r="J15" s="55">
        <v>5725127.85</v>
      </c>
      <c r="K15" s="55">
        <v>28625639.08</v>
      </c>
    </row>
    <row r="16" spans="1:11" ht="12.75">
      <c r="A16" s="57">
        <v>44317</v>
      </c>
      <c r="B16" s="55">
        <v>769906504.0800003</v>
      </c>
      <c r="C16" s="55">
        <v>2658561.559999999</v>
      </c>
      <c r="D16" s="55">
        <f t="shared" si="0"/>
        <v>710142077.5200003</v>
      </c>
      <c r="E16" s="55">
        <v>57105865.00000001</v>
      </c>
      <c r="F16" s="56">
        <v>3926</v>
      </c>
      <c r="G16" s="55">
        <f>_xlfn.IFERROR((E16/F16/31)," ")</f>
        <v>469.2115836524083</v>
      </c>
      <c r="I16" s="55">
        <v>22842345.990000006</v>
      </c>
      <c r="J16" s="55">
        <v>5710586.52</v>
      </c>
      <c r="K16" s="55">
        <v>28552932.470000003</v>
      </c>
    </row>
    <row r="17" spans="1:11" ht="12.75">
      <c r="A17" s="57">
        <v>44348</v>
      </c>
      <c r="B17" s="55">
        <v>676450238.01</v>
      </c>
      <c r="C17" s="55">
        <v>2582194.7199999997</v>
      </c>
      <c r="D17" s="55">
        <f t="shared" si="0"/>
        <v>623715582.3399999</v>
      </c>
      <c r="E17" s="55">
        <v>50152460.95</v>
      </c>
      <c r="F17" s="56">
        <v>4513</v>
      </c>
      <c r="G17" s="55">
        <f>_xlfn.IFERROR((E17/F17/30)," ")</f>
        <v>370.4295808405348</v>
      </c>
      <c r="I17" s="55">
        <v>20060984.400000002</v>
      </c>
      <c r="J17" s="55">
        <v>5015246.12</v>
      </c>
      <c r="K17" s="55">
        <v>25076230.470000006</v>
      </c>
    </row>
    <row r="18" spans="1:11" ht="12.75">
      <c r="A18" s="57">
        <v>44378</v>
      </c>
      <c r="B18" s="55">
        <v>741519570.64</v>
      </c>
      <c r="C18" s="55">
        <v>2940655.75</v>
      </c>
      <c r="D18" s="55">
        <f t="shared" si="0"/>
        <v>682230261.46</v>
      </c>
      <c r="E18" s="55">
        <v>56348653.43000001</v>
      </c>
      <c r="F18" s="56">
        <v>5109</v>
      </c>
      <c r="G18" s="55">
        <f>_xlfn.IFERROR((E18/F18/31)," ")</f>
        <v>355.7836167042348</v>
      </c>
      <c r="I18" s="55">
        <v>22539461.369999997</v>
      </c>
      <c r="J18" s="55">
        <v>5634865.35</v>
      </c>
      <c r="K18" s="55">
        <v>28174326.699999996</v>
      </c>
    </row>
    <row r="19" spans="1:11" ht="12.75">
      <c r="A19" s="57">
        <v>44409</v>
      </c>
      <c r="B19" s="55">
        <v>750776519.66</v>
      </c>
      <c r="C19" s="55">
        <v>3059111.5999999996</v>
      </c>
      <c r="D19" s="55">
        <f t="shared" si="0"/>
        <v>692689205.18</v>
      </c>
      <c r="E19" s="55">
        <v>55028202.879999995</v>
      </c>
      <c r="F19" s="56">
        <v>5444</v>
      </c>
      <c r="G19" s="55">
        <f>_xlfn.IFERROR((E19/F19/31)," ")</f>
        <v>326.06600270199806</v>
      </c>
      <c r="I19" s="55">
        <v>22011281.152</v>
      </c>
      <c r="J19" s="55">
        <v>5502820.288</v>
      </c>
      <c r="K19" s="55">
        <v>27514101.470000003</v>
      </c>
    </row>
    <row r="20" spans="1:11" ht="12.75">
      <c r="A20" s="57">
        <v>44440</v>
      </c>
      <c r="B20" s="55">
        <v>720351804.37</v>
      </c>
      <c r="C20" s="55">
        <v>2897681.14</v>
      </c>
      <c r="D20" s="55">
        <f t="shared" si="0"/>
        <v>665434702.5500001</v>
      </c>
      <c r="E20" s="55">
        <v>52019420.68</v>
      </c>
      <c r="F20" s="56">
        <v>5447</v>
      </c>
      <c r="G20" s="55">
        <f>_xlfn.IFERROR((E20/F20/30)," ")</f>
        <v>318.3368256532648</v>
      </c>
      <c r="I20" s="55">
        <v>20807768.272</v>
      </c>
      <c r="J20" s="55">
        <v>5201942.068</v>
      </c>
      <c r="K20" s="55">
        <v>26009710.35</v>
      </c>
    </row>
    <row r="21" spans="1:12" ht="12.75">
      <c r="A21" s="57">
        <v>44470</v>
      </c>
      <c r="B21" s="55">
        <v>772691698.2</v>
      </c>
      <c r="C21" s="55">
        <v>3295684.83</v>
      </c>
      <c r="D21" s="55">
        <f t="shared" si="0"/>
        <v>714316139.28</v>
      </c>
      <c r="E21" s="55">
        <v>55079874.09000001</v>
      </c>
      <c r="F21" s="56">
        <v>5447</v>
      </c>
      <c r="G21" s="55">
        <f>_xlfn.IFERROR((E21/F21/31)," ")</f>
        <v>326.19242370763436</v>
      </c>
      <c r="I21" s="55">
        <v>22031949.65</v>
      </c>
      <c r="J21" s="55">
        <v>5507987.430000001</v>
      </c>
      <c r="K21" s="55">
        <v>27539937.070000004</v>
      </c>
      <c r="L21" s="83"/>
    </row>
    <row r="22" spans="1:11" ht="12.75">
      <c r="A22" s="57">
        <v>44501</v>
      </c>
      <c r="B22" s="55">
        <v>686006804.6</v>
      </c>
      <c r="C22" s="55">
        <v>2682035.1600000006</v>
      </c>
      <c r="D22" s="55">
        <f t="shared" si="0"/>
        <v>634933930.3100001</v>
      </c>
      <c r="E22" s="55">
        <v>48390839.13000001</v>
      </c>
      <c r="F22" s="56">
        <v>5447</v>
      </c>
      <c r="G22" s="55">
        <f>_xlfn.IFERROR((E22/F22/30)," ")</f>
        <v>296.131443179732</v>
      </c>
      <c r="I22" s="55">
        <v>19356335.64</v>
      </c>
      <c r="J22" s="55">
        <v>4839083.909999999</v>
      </c>
      <c r="K22" s="55">
        <v>24195419.580000002</v>
      </c>
    </row>
    <row r="23" spans="1:11" ht="12.75">
      <c r="A23" s="57">
        <v>44531</v>
      </c>
      <c r="B23" s="55">
        <v>660108212.7499999</v>
      </c>
      <c r="C23" s="55">
        <v>2388998.5000000005</v>
      </c>
      <c r="D23" s="55">
        <f t="shared" si="0"/>
        <v>609401664.7199999</v>
      </c>
      <c r="E23" s="55">
        <v>48317549.53000001</v>
      </c>
      <c r="F23" s="56">
        <v>5447</v>
      </c>
      <c r="G23" s="55">
        <f>_xlfn.IFERROR((E23/F23/31)," ")</f>
        <v>286.1447824490546</v>
      </c>
      <c r="I23" s="55">
        <v>19327019.82</v>
      </c>
      <c r="J23" s="55">
        <v>4831754.959999999</v>
      </c>
      <c r="K23" s="55">
        <v>24158774.790000007</v>
      </c>
    </row>
    <row r="24" spans="1:11" ht="12.75">
      <c r="A24" s="57">
        <v>44562</v>
      </c>
      <c r="B24" s="55">
        <v>602572266.1799998</v>
      </c>
      <c r="C24" s="55">
        <v>2254545.79</v>
      </c>
      <c r="D24" s="55">
        <f t="shared" si="0"/>
        <v>556448949.1299999</v>
      </c>
      <c r="E24" s="55">
        <v>43868771.25999999</v>
      </c>
      <c r="F24" s="56">
        <v>5447</v>
      </c>
      <c r="G24" s="55">
        <f>_xlfn.IFERROR((E24/F24/31)," ")</f>
        <v>259.7983575451417</v>
      </c>
      <c r="I24" s="55">
        <v>17547508.49</v>
      </c>
      <c r="J24" s="55">
        <v>4386877.129999999</v>
      </c>
      <c r="K24" s="55">
        <v>21934385.61</v>
      </c>
    </row>
    <row r="25" spans="1:11" ht="12.75">
      <c r="A25" s="57">
        <v>44593</v>
      </c>
      <c r="B25" s="55">
        <v>682014887.57</v>
      </c>
      <c r="C25" s="55">
        <v>2475231.75</v>
      </c>
      <c r="D25" s="55">
        <f t="shared" si="0"/>
        <v>630335217.61</v>
      </c>
      <c r="E25" s="55">
        <v>49204438.21</v>
      </c>
      <c r="F25" s="56">
        <v>5447</v>
      </c>
      <c r="G25" s="55">
        <f>_xlfn.IFERROR((E25/F25/28)," ")</f>
        <v>322.61820536861705</v>
      </c>
      <c r="I25" s="55">
        <v>19681775.3</v>
      </c>
      <c r="J25" s="55">
        <v>4920443.83</v>
      </c>
      <c r="K25" s="55">
        <v>24602219.62</v>
      </c>
    </row>
    <row r="26" spans="1:11" ht="12.75">
      <c r="A26" s="57">
        <v>44621</v>
      </c>
      <c r="B26" s="55">
        <v>764344967.1500001</v>
      </c>
      <c r="C26" s="55">
        <v>2776334.51</v>
      </c>
      <c r="D26" s="55">
        <f t="shared" si="0"/>
        <v>705883086.4800001</v>
      </c>
      <c r="E26" s="55">
        <v>55685546.15999998</v>
      </c>
      <c r="F26" s="56">
        <v>5437</v>
      </c>
      <c r="G26" s="55">
        <f>_xlfn.IFERROR((E26/F26/31)," ")</f>
        <v>330.3858636463418</v>
      </c>
      <c r="I26" s="55">
        <v>22274218.460000005</v>
      </c>
      <c r="J26" s="55">
        <v>5568554.630000002</v>
      </c>
      <c r="K26" s="55">
        <v>27842773.089999992</v>
      </c>
    </row>
    <row r="27" spans="1:11" ht="13.5" thickBot="1">
      <c r="A27" s="82" t="s">
        <v>15</v>
      </c>
      <c r="B27" s="80">
        <f>SUM(B15:B26)</f>
        <v>8607817438.09</v>
      </c>
      <c r="C27" s="80">
        <f>SUM(C15:C26)</f>
        <v>32569131.28</v>
      </c>
      <c r="D27" s="80">
        <f>SUM(D15:D26)</f>
        <v>7946795407.260001</v>
      </c>
      <c r="E27" s="80">
        <f>SUM(E15:E26)</f>
        <v>628452899.5500001</v>
      </c>
      <c r="F27" s="53">
        <f>AVERAGE(F15:F26)</f>
        <v>5083.091666666666</v>
      </c>
      <c r="G27" s="51">
        <f>AVERAGE(G15:G26)</f>
        <v>346.0146750067165</v>
      </c>
      <c r="H27" s="81"/>
      <c r="I27" s="80">
        <f>SUM(I15:I26)</f>
        <v>251381159.83400002</v>
      </c>
      <c r="J27" s="80">
        <f>SUM(J15:J26)</f>
        <v>62845290.08599999</v>
      </c>
      <c r="K27" s="80">
        <f>SUM(K15:K26)</f>
        <v>314226450.3</v>
      </c>
    </row>
    <row r="28" spans="2:11" ht="10.5" customHeight="1" thickTop="1">
      <c r="B28" s="79"/>
      <c r="C28" s="79"/>
      <c r="D28" s="79"/>
      <c r="E28" s="79"/>
      <c r="I28" s="79"/>
      <c r="J28" s="79"/>
      <c r="K28" s="79"/>
    </row>
    <row r="29" spans="1:11" s="76" customFormat="1" ht="12.75">
      <c r="A29" s="78"/>
      <c r="B29" s="77"/>
      <c r="C29" s="77">
        <f>_xlfn.IFERROR(C27/B27,"")</f>
        <v>0.0037836689165687983</v>
      </c>
      <c r="D29" s="77">
        <f>_xlfn.IFERROR(D27/B27,"")</f>
        <v>0.9232067785377341</v>
      </c>
      <c r="E29" s="77">
        <f>_xlfn.IFERROR(E27/B27,"")</f>
        <v>0.07300955254569715</v>
      </c>
      <c r="I29" s="77">
        <f>_xlfn.IFERROR(I27/$E$27,"")</f>
        <v>0.4000000000222769</v>
      </c>
      <c r="J29" s="77">
        <f>_xlfn.IFERROR(J27/$E$27,"")</f>
        <v>0.10000000020844836</v>
      </c>
      <c r="K29" s="77">
        <f>_xlfn.IFERROR(K27/$E$27,"")</f>
        <v>0.5000000008353848</v>
      </c>
    </row>
    <row r="31" spans="1:11" s="69" customFormat="1" ht="12.75">
      <c r="A31" s="104" t="s">
        <v>16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</row>
    <row r="32" ht="12.75">
      <c r="A32" s="59"/>
    </row>
    <row r="33" spans="1:11" s="37" customFormat="1" ht="12.75" customHeight="1">
      <c r="A33" s="33" t="s">
        <v>17</v>
      </c>
      <c r="B33" s="34"/>
      <c r="C33" s="46" t="s">
        <v>58</v>
      </c>
      <c r="D33" s="47"/>
      <c r="E33" s="47"/>
      <c r="F33" s="47"/>
      <c r="G33" s="47"/>
      <c r="H33" s="47"/>
      <c r="I33" s="47"/>
      <c r="J33" s="47"/>
      <c r="K33" s="47"/>
    </row>
    <row r="34" spans="1:11" s="37" customFormat="1" ht="12.75" customHeight="1">
      <c r="A34" s="33"/>
      <c r="B34" s="34"/>
      <c r="C34" s="46" t="s">
        <v>59</v>
      </c>
      <c r="D34" s="47"/>
      <c r="E34" s="47"/>
      <c r="F34" s="47"/>
      <c r="G34" s="47"/>
      <c r="H34" s="47"/>
      <c r="I34" s="47"/>
      <c r="J34" s="47"/>
      <c r="K34" s="47"/>
    </row>
    <row r="35" spans="1:11" ht="6" customHeight="1">
      <c r="A35" s="75"/>
      <c r="B35" s="73"/>
      <c r="C35" s="73"/>
      <c r="F35" s="73"/>
      <c r="G35" s="73"/>
      <c r="H35" s="73"/>
      <c r="I35" s="73"/>
      <c r="J35" s="73"/>
      <c r="K35" s="73"/>
    </row>
    <row r="36" spans="1:11" ht="12.75">
      <c r="A36" s="75" t="s">
        <v>60</v>
      </c>
      <c r="B36" s="73"/>
      <c r="C36" s="73" t="s">
        <v>47</v>
      </c>
      <c r="F36" s="73"/>
      <c r="G36" s="73"/>
      <c r="H36" s="73"/>
      <c r="I36" s="73"/>
      <c r="J36" s="73"/>
      <c r="K36" s="73"/>
    </row>
    <row r="37" spans="1:11" ht="6" customHeight="1">
      <c r="A37" s="75"/>
      <c r="B37" s="73"/>
      <c r="C37" s="73"/>
      <c r="F37" s="73"/>
      <c r="G37" s="73"/>
      <c r="H37" s="73"/>
      <c r="I37" s="73"/>
      <c r="J37" s="73"/>
      <c r="K37" s="73"/>
    </row>
    <row r="38" spans="1:11" ht="12.75">
      <c r="A38" s="75" t="s">
        <v>18</v>
      </c>
      <c r="B38" s="73"/>
      <c r="C38" s="46" t="s">
        <v>63</v>
      </c>
      <c r="F38" s="73"/>
      <c r="G38" s="73"/>
      <c r="H38" s="73"/>
      <c r="I38" s="73"/>
      <c r="J38" s="73"/>
      <c r="K38" s="73"/>
    </row>
    <row r="39" spans="1:11" ht="6" customHeight="1">
      <c r="A39" s="75"/>
      <c r="B39" s="73"/>
      <c r="C39" s="73"/>
      <c r="F39" s="73"/>
      <c r="G39" s="73"/>
      <c r="H39" s="73"/>
      <c r="I39" s="73"/>
      <c r="J39" s="73"/>
      <c r="K39" s="73"/>
    </row>
    <row r="40" spans="1:11" ht="12.75">
      <c r="A40" s="75" t="s">
        <v>20</v>
      </c>
      <c r="B40" s="73"/>
      <c r="C40" s="73" t="s">
        <v>21</v>
      </c>
      <c r="F40" s="74"/>
      <c r="G40" s="73"/>
      <c r="H40" s="73"/>
      <c r="I40" s="73"/>
      <c r="J40" s="73"/>
      <c r="K40" s="73"/>
    </row>
    <row r="41" spans="1:11" ht="12.75">
      <c r="A41" s="75"/>
      <c r="B41" s="73"/>
      <c r="C41" s="73" t="s">
        <v>22</v>
      </c>
      <c r="F41" s="74"/>
      <c r="G41" s="73"/>
      <c r="H41" s="73"/>
      <c r="I41" s="73"/>
      <c r="J41" s="73"/>
      <c r="K41" s="73"/>
    </row>
    <row r="42" spans="1:11" ht="6" customHeight="1">
      <c r="A42" s="75"/>
      <c r="B42" s="73"/>
      <c r="C42" s="73"/>
      <c r="F42" s="74"/>
      <c r="G42" s="73"/>
      <c r="H42" s="73"/>
      <c r="I42" s="73"/>
      <c r="J42" s="73"/>
      <c r="K42" s="73"/>
    </row>
    <row r="43" spans="1:11" ht="12.75">
      <c r="A43" s="75" t="s">
        <v>23</v>
      </c>
      <c r="B43" s="73"/>
      <c r="C43" s="73" t="s">
        <v>24</v>
      </c>
      <c r="F43" s="74"/>
      <c r="G43" s="73"/>
      <c r="H43" s="73"/>
      <c r="I43" s="73"/>
      <c r="J43" s="73"/>
      <c r="K43" s="73"/>
    </row>
    <row r="44" spans="1:11" ht="6" customHeight="1">
      <c r="A44" s="75"/>
      <c r="B44" s="73"/>
      <c r="C44" s="73"/>
      <c r="D44" s="73"/>
      <c r="F44" s="74"/>
      <c r="G44" s="73"/>
      <c r="H44" s="73"/>
      <c r="I44" s="73"/>
      <c r="J44" s="73"/>
      <c r="K44" s="73"/>
    </row>
    <row r="45" spans="1:11" s="37" customFormat="1" ht="12.75">
      <c r="A45" s="33" t="s">
        <v>30</v>
      </c>
      <c r="B45" s="34"/>
      <c r="C45" s="34" t="s">
        <v>31</v>
      </c>
      <c r="D45" s="35"/>
      <c r="E45" s="36"/>
      <c r="F45" s="34"/>
      <c r="G45" s="34"/>
      <c r="H45" s="34"/>
      <c r="I45" s="34"/>
      <c r="J45" s="34"/>
      <c r="K45" s="34"/>
    </row>
    <row r="46" spans="1:11" s="37" customFormat="1" ht="12.75">
      <c r="A46" s="33"/>
      <c r="B46" s="34"/>
      <c r="C46" s="34" t="s">
        <v>43</v>
      </c>
      <c r="D46" s="35"/>
      <c r="E46" s="36"/>
      <c r="F46" s="34"/>
      <c r="G46" s="34"/>
      <c r="H46" s="34"/>
      <c r="I46" s="34"/>
      <c r="J46" s="34"/>
      <c r="K46" s="34"/>
    </row>
    <row r="47" spans="1:11" s="37" customFormat="1" ht="12.75">
      <c r="A47" s="33"/>
      <c r="B47" s="34"/>
      <c r="C47" s="34" t="s">
        <v>44</v>
      </c>
      <c r="D47" s="35"/>
      <c r="E47" s="36"/>
      <c r="F47" s="34"/>
      <c r="G47" s="34"/>
      <c r="H47" s="34"/>
      <c r="I47" s="34"/>
      <c r="J47" s="34"/>
      <c r="K47" s="34"/>
    </row>
    <row r="48" spans="1:11" s="37" customFormat="1" ht="3.75" customHeight="1">
      <c r="A48" s="33"/>
      <c r="B48" s="34"/>
      <c r="C48" s="34"/>
      <c r="D48" s="35"/>
      <c r="E48" s="36"/>
      <c r="F48" s="34"/>
      <c r="G48" s="34"/>
      <c r="H48" s="34"/>
      <c r="I48" s="34"/>
      <c r="J48" s="34"/>
      <c r="K48" s="34"/>
    </row>
    <row r="49" spans="1:11" s="37" customFormat="1" ht="12.75" customHeight="1">
      <c r="A49" s="33"/>
      <c r="B49" s="34"/>
      <c r="C49" s="100" t="s">
        <v>85</v>
      </c>
      <c r="D49" s="99"/>
      <c r="E49" s="36"/>
      <c r="F49" s="34"/>
      <c r="G49" s="34"/>
      <c r="H49" s="34"/>
      <c r="I49" s="34"/>
      <c r="J49" s="34"/>
      <c r="K49" s="34"/>
    </row>
    <row r="50" spans="1:11" s="37" customFormat="1" ht="12.75">
      <c r="A50" s="33"/>
      <c r="B50" s="34"/>
      <c r="C50" s="34" t="s">
        <v>84</v>
      </c>
      <c r="D50" s="99"/>
      <c r="E50" s="36"/>
      <c r="F50" s="34"/>
      <c r="G50" s="34"/>
      <c r="H50" s="34"/>
      <c r="I50" s="34"/>
      <c r="J50" s="34"/>
      <c r="K50" s="34"/>
    </row>
    <row r="51" spans="1:11" s="37" customFormat="1" ht="12.75">
      <c r="A51" s="33"/>
      <c r="B51" s="34"/>
      <c r="C51" s="34" t="s">
        <v>86</v>
      </c>
      <c r="D51" s="99"/>
      <c r="E51" s="36"/>
      <c r="F51" s="34"/>
      <c r="G51" s="34"/>
      <c r="H51" s="34"/>
      <c r="I51" s="34"/>
      <c r="J51" s="34"/>
      <c r="K51" s="34"/>
    </row>
    <row r="52" spans="1:11" ht="6" customHeight="1">
      <c r="A52" s="75"/>
      <c r="B52" s="73"/>
      <c r="C52" s="73"/>
      <c r="D52" s="73"/>
      <c r="F52" s="74"/>
      <c r="G52" s="73"/>
      <c r="H52" s="73"/>
      <c r="I52" s="73"/>
      <c r="J52" s="73"/>
      <c r="K52" s="73"/>
    </row>
    <row r="53" spans="1:11" s="37" customFormat="1" ht="12.75">
      <c r="A53" s="33" t="s">
        <v>46</v>
      </c>
      <c r="B53" s="34"/>
      <c r="C53" s="34" t="s">
        <v>34</v>
      </c>
      <c r="D53" s="35"/>
      <c r="E53" s="36"/>
      <c r="F53" s="34"/>
      <c r="G53" s="34"/>
      <c r="H53" s="34"/>
      <c r="I53" s="34"/>
      <c r="J53" s="34"/>
      <c r="K53" s="34"/>
    </row>
    <row r="54" spans="1:11" s="37" customFormat="1" ht="12.75">
      <c r="A54" s="38"/>
      <c r="B54" s="34"/>
      <c r="C54" s="34" t="s">
        <v>35</v>
      </c>
      <c r="D54" s="35"/>
      <c r="E54" s="36"/>
      <c r="F54" s="34"/>
      <c r="G54" s="34"/>
      <c r="H54" s="34"/>
      <c r="I54" s="34"/>
      <c r="J54" s="34"/>
      <c r="K54" s="34"/>
    </row>
    <row r="55" spans="1:11" ht="12.75">
      <c r="A55" s="72"/>
      <c r="B55" s="70"/>
      <c r="C55" s="70"/>
      <c r="D55" s="70"/>
      <c r="E55" s="70"/>
      <c r="F55" s="71"/>
      <c r="G55" s="70"/>
      <c r="H55" s="70"/>
      <c r="I55" s="70"/>
      <c r="J55" s="70"/>
      <c r="K55" s="70"/>
    </row>
    <row r="56" spans="1:11" s="69" customFormat="1" ht="12.75">
      <c r="A56" s="104" t="s">
        <v>26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</row>
    <row r="57" ht="12.75">
      <c r="A57" s="59"/>
    </row>
    <row r="58" spans="1:10" ht="13.5">
      <c r="A58" s="68"/>
      <c r="B58" s="65"/>
      <c r="C58" s="67" t="s">
        <v>4</v>
      </c>
      <c r="D58" s="67" t="s">
        <v>41</v>
      </c>
      <c r="E58" s="106" t="s">
        <v>48</v>
      </c>
      <c r="F58" s="106"/>
      <c r="G58" s="106"/>
      <c r="H58" s="106"/>
      <c r="I58" s="106"/>
      <c r="J58" s="106"/>
    </row>
    <row r="59" spans="1:10" ht="12.75">
      <c r="A59" s="66"/>
      <c r="B59" s="65"/>
      <c r="C59" s="63" t="s">
        <v>12</v>
      </c>
      <c r="D59" s="63" t="s">
        <v>42</v>
      </c>
      <c r="E59" s="63" t="s">
        <v>49</v>
      </c>
      <c r="F59" s="63" t="s">
        <v>50</v>
      </c>
      <c r="G59" s="63" t="s">
        <v>51</v>
      </c>
      <c r="H59" s="64"/>
      <c r="I59" s="63" t="s">
        <v>53</v>
      </c>
      <c r="J59" s="63" t="s">
        <v>52</v>
      </c>
    </row>
    <row r="60" spans="1:10" ht="12.75">
      <c r="A60" s="59"/>
      <c r="B60" s="62"/>
      <c r="C60" s="60">
        <v>0.4</v>
      </c>
      <c r="D60" s="60">
        <v>0.1</v>
      </c>
      <c r="E60" s="60">
        <v>0.34</v>
      </c>
      <c r="F60" s="60">
        <v>0.075</v>
      </c>
      <c r="G60" s="60">
        <v>0.015</v>
      </c>
      <c r="H60" s="61"/>
      <c r="I60" s="60">
        <v>0.03</v>
      </c>
      <c r="J60" s="60">
        <v>0.04</v>
      </c>
    </row>
    <row r="61" spans="2:11" ht="12.75">
      <c r="B61" s="62"/>
      <c r="D61" s="60"/>
      <c r="E61" s="60"/>
      <c r="F61" s="60"/>
      <c r="G61" s="60"/>
      <c r="H61" s="61"/>
      <c r="I61" s="60"/>
      <c r="J61" s="60"/>
      <c r="K61" s="60"/>
    </row>
    <row r="62" spans="1:11" ht="12.75">
      <c r="A62" s="59" t="s">
        <v>82</v>
      </c>
      <c r="B62" s="62"/>
      <c r="D62" s="60"/>
      <c r="E62" s="60"/>
      <c r="F62" s="60"/>
      <c r="G62" s="60"/>
      <c r="H62" s="61"/>
      <c r="I62" s="60"/>
      <c r="J62" s="60"/>
      <c r="K62" s="60"/>
    </row>
    <row r="63" spans="1:11" ht="12.75">
      <c r="A63" s="59"/>
      <c r="B63" s="62"/>
      <c r="D63" s="60"/>
      <c r="E63" s="60"/>
      <c r="F63" s="60"/>
      <c r="G63" s="60"/>
      <c r="H63" s="61"/>
      <c r="I63" s="60"/>
      <c r="J63" s="60"/>
      <c r="K63" s="60"/>
    </row>
    <row r="64" spans="1:11" ht="12.75">
      <c r="A64" s="59" t="s">
        <v>79</v>
      </c>
      <c r="B64" s="62"/>
      <c r="D64" s="60"/>
      <c r="E64" s="60"/>
      <c r="F64" s="60"/>
      <c r="G64" s="60"/>
      <c r="H64" s="61"/>
      <c r="I64" s="60"/>
      <c r="J64" s="60"/>
      <c r="K64" s="60"/>
    </row>
    <row r="65" ht="12.75">
      <c r="A65" s="59"/>
    </row>
    <row r="66" ht="13.5" customHeight="1">
      <c r="A66" s="101" t="s">
        <v>61</v>
      </c>
    </row>
  </sheetData>
  <sheetProtection/>
  <mergeCells count="10">
    <mergeCell ref="I10:K10"/>
    <mergeCell ref="A31:K31"/>
    <mergeCell ref="A56:K56"/>
    <mergeCell ref="E58:J58"/>
    <mergeCell ref="A1:K1"/>
    <mergeCell ref="A2:K2"/>
    <mergeCell ref="A3:K3"/>
    <mergeCell ref="A4:K4"/>
    <mergeCell ref="A5:K5"/>
    <mergeCell ref="A8:K8"/>
  </mergeCells>
  <hyperlinks>
    <hyperlink ref="A4" r:id="rId1" display="www.rwnewyork.com"/>
  </hyperlinks>
  <printOptions/>
  <pageMargins left="0.25" right="0.25" top="0.75" bottom="0.5" header="0.5" footer="0.5"/>
  <pageSetup fitToHeight="1" fitToWidth="1" horizontalDpi="600" verticalDpi="600" orientation="portrait" scale="7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9.28125" style="57" customWidth="1"/>
    <col min="2" max="2" width="15.421875" style="55" bestFit="1" customWidth="1"/>
    <col min="3" max="3" width="13.140625" style="55" customWidth="1"/>
    <col min="4" max="4" width="15.421875" style="55" bestFit="1" customWidth="1"/>
    <col min="5" max="5" width="12.7109375" style="55" customWidth="1"/>
    <col min="6" max="6" width="10.28125" style="56" customWidth="1"/>
    <col min="7" max="7" width="10.28125" style="55" customWidth="1"/>
    <col min="8" max="8" width="2.28125" style="55" customWidth="1"/>
    <col min="9" max="9" width="14.00390625" style="55" customWidth="1"/>
    <col min="10" max="11" width="14.140625" style="55" customWidth="1"/>
    <col min="12" max="16384" width="9.140625" style="54" customWidth="1"/>
  </cols>
  <sheetData>
    <row r="1" spans="1:11" ht="18">
      <c r="A1" s="107" t="s">
        <v>45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15">
      <c r="A2" s="108" t="s">
        <v>36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s="92" customFormat="1" ht="15">
      <c r="A3" s="108" t="s">
        <v>37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 s="92" customFormat="1" ht="15">
      <c r="A4" s="109" t="s">
        <v>38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spans="1:11" s="92" customFormat="1" ht="14.25">
      <c r="A5" s="110" t="s">
        <v>39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</row>
    <row r="6" spans="1:11" s="92" customFormat="1" ht="14.2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</row>
    <row r="7" spans="1:11" s="92" customFormat="1" ht="12.75">
      <c r="A7" s="57"/>
      <c r="B7" s="95"/>
      <c r="C7" s="95"/>
      <c r="D7" s="95"/>
      <c r="E7" s="93"/>
      <c r="F7" s="94"/>
      <c r="G7" s="93"/>
      <c r="H7" s="93"/>
      <c r="I7" s="93"/>
      <c r="J7" s="93"/>
      <c r="K7" s="93"/>
    </row>
    <row r="8" spans="1:11" s="96" customFormat="1" ht="14.25" customHeight="1">
      <c r="A8" s="104" t="s">
        <v>87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</row>
    <row r="9" spans="1:11" s="92" customFormat="1" ht="9" customHeight="1">
      <c r="A9" s="57"/>
      <c r="B9" s="95"/>
      <c r="C9" s="95"/>
      <c r="D9" s="95"/>
      <c r="E9" s="93"/>
      <c r="F9" s="94"/>
      <c r="G9" s="93"/>
      <c r="H9" s="93"/>
      <c r="I9" s="93"/>
      <c r="J9" s="93"/>
      <c r="K9" s="93"/>
    </row>
    <row r="10" spans="1:11" s="92" customFormat="1" ht="12.75">
      <c r="A10" s="57"/>
      <c r="B10" s="93"/>
      <c r="C10" s="93"/>
      <c r="D10" s="93"/>
      <c r="E10" s="93"/>
      <c r="F10" s="94"/>
      <c r="G10" s="93"/>
      <c r="H10" s="93"/>
      <c r="I10" s="103" t="s">
        <v>0</v>
      </c>
      <c r="J10" s="103"/>
      <c r="K10" s="103"/>
    </row>
    <row r="11" spans="1:11" s="92" customFormat="1" ht="7.5" customHeight="1">
      <c r="A11" s="57"/>
      <c r="B11" s="93"/>
      <c r="C11" s="93"/>
      <c r="D11" s="93"/>
      <c r="E11" s="93"/>
      <c r="F11" s="94"/>
      <c r="G11" s="93"/>
      <c r="H11" s="93"/>
      <c r="I11" s="93"/>
      <c r="J11" s="93"/>
      <c r="K11" s="93"/>
    </row>
    <row r="12" spans="1:11" s="84" customFormat="1" ht="12">
      <c r="A12" s="91"/>
      <c r="B12" s="89" t="s">
        <v>1</v>
      </c>
      <c r="C12" s="89" t="s">
        <v>29</v>
      </c>
      <c r="D12" s="89" t="s">
        <v>1</v>
      </c>
      <c r="E12" s="89"/>
      <c r="F12" s="90" t="s">
        <v>2</v>
      </c>
      <c r="G12" s="89" t="s">
        <v>3</v>
      </c>
      <c r="H12" s="89"/>
      <c r="I12" s="89" t="s">
        <v>4</v>
      </c>
      <c r="J12" s="89" t="s">
        <v>41</v>
      </c>
      <c r="K12" s="89" t="s">
        <v>40</v>
      </c>
    </row>
    <row r="13" spans="1:11" s="84" customFormat="1" ht="12">
      <c r="A13" s="88" t="s">
        <v>6</v>
      </c>
      <c r="B13" s="85" t="s">
        <v>7</v>
      </c>
      <c r="C13" s="85" t="s">
        <v>14</v>
      </c>
      <c r="D13" s="85" t="s">
        <v>8</v>
      </c>
      <c r="E13" s="85" t="s">
        <v>9</v>
      </c>
      <c r="F13" s="87" t="s">
        <v>10</v>
      </c>
      <c r="G13" s="85" t="s">
        <v>11</v>
      </c>
      <c r="H13" s="86"/>
      <c r="I13" s="85" t="s">
        <v>12</v>
      </c>
      <c r="J13" s="85" t="s">
        <v>42</v>
      </c>
      <c r="K13" s="85" t="s">
        <v>13</v>
      </c>
    </row>
    <row r="15" spans="1:11" ht="12.75">
      <c r="A15" s="57">
        <v>43922</v>
      </c>
      <c r="B15" s="55">
        <v>0</v>
      </c>
      <c r="C15" s="55">
        <v>0</v>
      </c>
      <c r="D15" s="55">
        <f aca="true" t="shared" si="0" ref="D15:D26">IF(ISBLANK(B15),"",B15-C15-E15)</f>
        <v>0</v>
      </c>
      <c r="E15" s="55">
        <v>0</v>
      </c>
      <c r="F15" s="56">
        <v>0</v>
      </c>
      <c r="G15" s="55">
        <v>0</v>
      </c>
      <c r="I15" s="55">
        <v>0</v>
      </c>
      <c r="J15" s="55">
        <v>0</v>
      </c>
      <c r="K15" s="55">
        <v>0</v>
      </c>
    </row>
    <row r="16" spans="1:11" ht="12.75">
      <c r="A16" s="57">
        <v>43952</v>
      </c>
      <c r="B16" s="55">
        <v>0</v>
      </c>
      <c r="C16" s="55">
        <v>0</v>
      </c>
      <c r="D16" s="55">
        <v>0</v>
      </c>
      <c r="E16" s="55">
        <v>0</v>
      </c>
      <c r="F16" s="56">
        <v>0</v>
      </c>
      <c r="G16" s="55">
        <v>0</v>
      </c>
      <c r="I16" s="55">
        <v>0</v>
      </c>
      <c r="J16" s="55">
        <v>0</v>
      </c>
      <c r="K16" s="55">
        <v>0</v>
      </c>
    </row>
    <row r="17" spans="1:11" ht="12.75">
      <c r="A17" s="57">
        <v>43983</v>
      </c>
      <c r="B17" s="55">
        <v>0</v>
      </c>
      <c r="C17" s="55">
        <v>0</v>
      </c>
      <c r="D17" s="55">
        <v>0</v>
      </c>
      <c r="E17" s="55">
        <v>0</v>
      </c>
      <c r="F17" s="56">
        <v>0</v>
      </c>
      <c r="G17" s="55">
        <v>0</v>
      </c>
      <c r="I17" s="55">
        <v>0</v>
      </c>
      <c r="J17" s="55">
        <v>0</v>
      </c>
      <c r="K17" s="55">
        <v>0</v>
      </c>
    </row>
    <row r="18" spans="1:11" ht="12.75">
      <c r="A18" s="57">
        <v>44013</v>
      </c>
      <c r="B18" s="55">
        <v>0</v>
      </c>
      <c r="C18" s="55">
        <v>0</v>
      </c>
      <c r="D18" s="55">
        <v>0</v>
      </c>
      <c r="E18" s="55">
        <v>0</v>
      </c>
      <c r="F18" s="56">
        <v>0</v>
      </c>
      <c r="G18" s="55">
        <v>0</v>
      </c>
      <c r="I18" s="55">
        <v>0</v>
      </c>
      <c r="J18" s="55">
        <v>0</v>
      </c>
      <c r="K18" s="55">
        <v>0</v>
      </c>
    </row>
    <row r="19" spans="1:11" ht="12.75">
      <c r="A19" s="57">
        <v>44044</v>
      </c>
      <c r="B19" s="55">
        <v>0</v>
      </c>
      <c r="C19" s="55">
        <v>0</v>
      </c>
      <c r="D19" s="55">
        <v>0</v>
      </c>
      <c r="E19" s="55">
        <v>0</v>
      </c>
      <c r="F19" s="56">
        <v>0</v>
      </c>
      <c r="G19" s="55">
        <v>0</v>
      </c>
      <c r="I19" s="55">
        <v>0</v>
      </c>
      <c r="J19" s="55">
        <v>0</v>
      </c>
      <c r="K19" s="55">
        <v>0</v>
      </c>
    </row>
    <row r="20" spans="1:11" ht="12.75">
      <c r="A20" s="57">
        <v>44075</v>
      </c>
      <c r="B20" s="55">
        <v>488081448.15000004</v>
      </c>
      <c r="C20" s="55">
        <v>1862924.7100000002</v>
      </c>
      <c r="D20" s="55">
        <f t="shared" si="0"/>
        <v>449168313.78000003</v>
      </c>
      <c r="E20" s="55">
        <v>37050209.660000004</v>
      </c>
      <c r="F20" s="56">
        <v>2200</v>
      </c>
      <c r="G20" s="55">
        <f>_xlfn.IFERROR((E20/F20/22)," ")</f>
        <v>765.500199586777</v>
      </c>
      <c r="I20" s="55">
        <v>14820083.87</v>
      </c>
      <c r="J20" s="55">
        <v>3705020.9700000007</v>
      </c>
      <c r="K20" s="55">
        <v>18525104.820000004</v>
      </c>
    </row>
    <row r="21" spans="1:12" ht="12.75">
      <c r="A21" s="57">
        <v>44105</v>
      </c>
      <c r="B21" s="55">
        <v>558930409.21</v>
      </c>
      <c r="C21" s="55">
        <v>2746929.51</v>
      </c>
      <c r="D21" s="55">
        <f t="shared" si="0"/>
        <v>516451075.56000006</v>
      </c>
      <c r="E21" s="55">
        <v>39732404.14</v>
      </c>
      <c r="F21" s="56">
        <v>2286.83</v>
      </c>
      <c r="G21" s="55">
        <f>_xlfn.IFERROR((E21/F21/31)," ")</f>
        <v>560.4659970916213</v>
      </c>
      <c r="I21" s="55">
        <v>15892961.64</v>
      </c>
      <c r="J21" s="55">
        <v>3973240.44</v>
      </c>
      <c r="K21" s="55">
        <v>19866202.05</v>
      </c>
      <c r="L21" s="83"/>
    </row>
    <row r="22" spans="1:11" ht="12.75">
      <c r="A22" s="57">
        <v>44136</v>
      </c>
      <c r="B22" s="55">
        <v>526237839.15999997</v>
      </c>
      <c r="C22" s="55">
        <v>2712609.2600000002</v>
      </c>
      <c r="D22" s="55">
        <f t="shared" si="0"/>
        <v>487922713.59</v>
      </c>
      <c r="E22" s="55">
        <v>35602516.31</v>
      </c>
      <c r="F22" s="56">
        <v>2788.3</v>
      </c>
      <c r="G22" s="55">
        <f>_xlfn.IFERROR((E22/F22/30)," ")</f>
        <v>425.617954906813</v>
      </c>
      <c r="I22" s="55">
        <v>14241006.49</v>
      </c>
      <c r="J22" s="55">
        <v>3560251.68</v>
      </c>
      <c r="K22" s="55">
        <v>17801258.189999998</v>
      </c>
    </row>
    <row r="23" spans="1:11" ht="12.75">
      <c r="A23" s="57">
        <v>44166</v>
      </c>
      <c r="B23" s="55">
        <v>517158473.02000004</v>
      </c>
      <c r="C23" s="55">
        <v>3589567.76</v>
      </c>
      <c r="D23" s="55">
        <f t="shared" si="0"/>
        <v>478989970.16</v>
      </c>
      <c r="E23" s="55">
        <v>34578935.1</v>
      </c>
      <c r="F23" s="56">
        <v>3324.77</v>
      </c>
      <c r="G23" s="55">
        <f>_xlfn.IFERROR((E23/F23/31)," ")</f>
        <v>335.49674694936454</v>
      </c>
      <c r="I23" s="55">
        <v>13831574.039999995</v>
      </c>
      <c r="J23" s="55">
        <v>3457893.5099999993</v>
      </c>
      <c r="K23" s="55">
        <v>17289467.56</v>
      </c>
    </row>
    <row r="24" spans="1:11" ht="12.75">
      <c r="A24" s="57">
        <v>44197</v>
      </c>
      <c r="B24" s="55">
        <v>581676274.8000001</v>
      </c>
      <c r="C24" s="55">
        <v>2112814.6999999997</v>
      </c>
      <c r="D24" s="55">
        <f t="shared" si="0"/>
        <v>537423307.3000001</v>
      </c>
      <c r="E24" s="55">
        <v>42140152.8</v>
      </c>
      <c r="F24" s="56">
        <v>3523</v>
      </c>
      <c r="G24" s="55">
        <f>_xlfn.IFERROR((E24/F24/31)," ")</f>
        <v>385.8529002957523</v>
      </c>
      <c r="I24" s="55">
        <v>16856061.130000003</v>
      </c>
      <c r="J24" s="55">
        <v>4214015.3</v>
      </c>
      <c r="K24" s="55">
        <v>21070076.389999997</v>
      </c>
    </row>
    <row r="25" spans="1:11" ht="12.75">
      <c r="A25" s="57">
        <v>44228</v>
      </c>
      <c r="B25" s="55">
        <v>489091961.78000003</v>
      </c>
      <c r="C25" s="55">
        <v>1653883.4300000004</v>
      </c>
      <c r="D25" s="55">
        <f t="shared" si="0"/>
        <v>451406129.11</v>
      </c>
      <c r="E25" s="55">
        <v>36031949.24</v>
      </c>
      <c r="F25" s="56">
        <f>97020/28</f>
        <v>3465</v>
      </c>
      <c r="G25" s="55">
        <f>_xlfn.IFERROR((E25/F25/28)," ")</f>
        <v>371.3868196248196</v>
      </c>
      <c r="I25" s="55">
        <v>14412779.700000001</v>
      </c>
      <c r="J25" s="55">
        <v>3603194.9600000004</v>
      </c>
      <c r="K25" s="55">
        <v>18015974.61</v>
      </c>
    </row>
    <row r="26" spans="1:11" ht="12.75">
      <c r="A26" s="57">
        <v>44256</v>
      </c>
      <c r="B26" s="55">
        <v>672790157.83</v>
      </c>
      <c r="C26" s="55">
        <v>2435562.12</v>
      </c>
      <c r="D26" s="55">
        <f t="shared" si="0"/>
        <v>620370885.1</v>
      </c>
      <c r="E26" s="55">
        <v>49983710.61</v>
      </c>
      <c r="F26" s="56">
        <v>3650</v>
      </c>
      <c r="G26" s="55">
        <f>_xlfn.IFERROR((E26/F26/31)," ")</f>
        <v>441.74733194874057</v>
      </c>
      <c r="I26" s="55">
        <v>19993484.25</v>
      </c>
      <c r="J26" s="55">
        <v>4998371.050000002</v>
      </c>
      <c r="K26" s="55">
        <v>24991855.269999996</v>
      </c>
    </row>
    <row r="27" spans="1:11" ht="13.5" thickBot="1">
      <c r="A27" s="82" t="s">
        <v>15</v>
      </c>
      <c r="B27" s="80">
        <f>SUM(B15:B26)</f>
        <v>3833966563.9500003</v>
      </c>
      <c r="C27" s="80">
        <f>SUM(C15:C26)</f>
        <v>17114291.49</v>
      </c>
      <c r="D27" s="80">
        <f>SUM(D15:D26)</f>
        <v>3541732394.6000004</v>
      </c>
      <c r="E27" s="80">
        <f>SUM(E15:E26)</f>
        <v>275119877.86</v>
      </c>
      <c r="F27" s="102">
        <f>SUM(F20:F26)/COUNT(F20:F26)</f>
        <v>3033.9857142857145</v>
      </c>
      <c r="G27" s="80">
        <f>_xlfn.IFERROR(E27/F27/180," ")</f>
        <v>503.7742131388801</v>
      </c>
      <c r="H27" s="81"/>
      <c r="I27" s="80">
        <f>SUM(I15:I26)</f>
        <v>110047951.11999999</v>
      </c>
      <c r="J27" s="80">
        <f>SUM(J15:J26)</f>
        <v>27511987.91</v>
      </c>
      <c r="K27" s="80">
        <f>SUM(K15:K26)</f>
        <v>137559938.89</v>
      </c>
    </row>
    <row r="28" spans="2:11" ht="10.5" customHeight="1" thickTop="1">
      <c r="B28" s="79"/>
      <c r="C28" s="79"/>
      <c r="D28" s="79"/>
      <c r="E28" s="79"/>
      <c r="I28" s="79"/>
      <c r="J28" s="79"/>
      <c r="K28" s="79"/>
    </row>
    <row r="29" spans="1:11" s="76" customFormat="1" ht="12.75">
      <c r="A29" s="78"/>
      <c r="B29" s="77"/>
      <c r="C29" s="77">
        <f>_xlfn.IFERROR(C27/B27,"")</f>
        <v>0.004463860392242896</v>
      </c>
      <c r="D29" s="77">
        <f>_xlfn.IFERROR(D27/B27,"")</f>
        <v>0.9237775905252232</v>
      </c>
      <c r="E29" s="77">
        <f>_xlfn.IFERROR(E27/B27,"")</f>
        <v>0.07175854908253392</v>
      </c>
      <c r="I29" s="77">
        <f>_xlfn.IFERROR(I27/$E$27,"")</f>
        <v>0.39999999991276525</v>
      </c>
      <c r="J29" s="77">
        <f>_xlfn.IFERROR(J27/$E$27,"")</f>
        <v>0.10000000045071261</v>
      </c>
      <c r="K29" s="77">
        <f>_xlfn.IFERROR(K27/$E$27,"")</f>
        <v>0.49999999985460875</v>
      </c>
    </row>
    <row r="31" spans="1:11" s="69" customFormat="1" ht="12.75">
      <c r="A31" s="104" t="s">
        <v>16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</row>
    <row r="32" ht="12.75">
      <c r="A32" s="59"/>
    </row>
    <row r="33" spans="1:11" s="37" customFormat="1" ht="12.75" customHeight="1">
      <c r="A33" s="33" t="s">
        <v>17</v>
      </c>
      <c r="B33" s="34"/>
      <c r="C33" s="46" t="s">
        <v>58</v>
      </c>
      <c r="D33" s="47"/>
      <c r="E33" s="47"/>
      <c r="F33" s="47"/>
      <c r="G33" s="47"/>
      <c r="H33" s="47"/>
      <c r="I33" s="47"/>
      <c r="J33" s="47"/>
      <c r="K33" s="47"/>
    </row>
    <row r="34" spans="1:11" s="37" customFormat="1" ht="12.75" customHeight="1">
      <c r="A34" s="33"/>
      <c r="B34" s="34"/>
      <c r="C34" s="46" t="s">
        <v>59</v>
      </c>
      <c r="D34" s="47"/>
      <c r="E34" s="47"/>
      <c r="F34" s="47"/>
      <c r="G34" s="47"/>
      <c r="H34" s="47"/>
      <c r="I34" s="47"/>
      <c r="J34" s="47"/>
      <c r="K34" s="47"/>
    </row>
    <row r="35" spans="1:11" ht="6" customHeight="1">
      <c r="A35" s="75"/>
      <c r="B35" s="73"/>
      <c r="C35" s="73"/>
      <c r="F35" s="73"/>
      <c r="G35" s="73"/>
      <c r="H35" s="73"/>
      <c r="I35" s="73"/>
      <c r="J35" s="73"/>
      <c r="K35" s="73"/>
    </row>
    <row r="36" spans="1:11" ht="12.75">
      <c r="A36" s="75" t="s">
        <v>60</v>
      </c>
      <c r="B36" s="73"/>
      <c r="C36" s="73" t="s">
        <v>47</v>
      </c>
      <c r="F36" s="73"/>
      <c r="G36" s="73"/>
      <c r="H36" s="73"/>
      <c r="I36" s="73"/>
      <c r="J36" s="73"/>
      <c r="K36" s="73"/>
    </row>
    <row r="37" spans="1:11" ht="6" customHeight="1">
      <c r="A37" s="75"/>
      <c r="B37" s="73"/>
      <c r="C37" s="73"/>
      <c r="F37" s="73"/>
      <c r="G37" s="73"/>
      <c r="H37" s="73"/>
      <c r="I37" s="73"/>
      <c r="J37" s="73"/>
      <c r="K37" s="73"/>
    </row>
    <row r="38" spans="1:11" ht="12.75">
      <c r="A38" s="75" t="s">
        <v>18</v>
      </c>
      <c r="B38" s="73"/>
      <c r="C38" s="46" t="s">
        <v>63</v>
      </c>
      <c r="F38" s="73"/>
      <c r="G38" s="73"/>
      <c r="H38" s="73"/>
      <c r="I38" s="73"/>
      <c r="J38" s="73"/>
      <c r="K38" s="73"/>
    </row>
    <row r="39" spans="1:11" ht="6" customHeight="1">
      <c r="A39" s="75"/>
      <c r="B39" s="73"/>
      <c r="C39" s="73"/>
      <c r="F39" s="73"/>
      <c r="G39" s="73"/>
      <c r="H39" s="73"/>
      <c r="I39" s="73"/>
      <c r="J39" s="73"/>
      <c r="K39" s="73"/>
    </row>
    <row r="40" spans="1:11" ht="12.75">
      <c r="A40" s="75" t="s">
        <v>20</v>
      </c>
      <c r="B40" s="73"/>
      <c r="C40" s="73" t="s">
        <v>21</v>
      </c>
      <c r="F40" s="74"/>
      <c r="G40" s="73"/>
      <c r="H40" s="73"/>
      <c r="I40" s="73"/>
      <c r="J40" s="73"/>
      <c r="K40" s="73"/>
    </row>
    <row r="41" spans="1:11" ht="12.75">
      <c r="A41" s="75"/>
      <c r="B41" s="73"/>
      <c r="C41" s="73" t="s">
        <v>22</v>
      </c>
      <c r="F41" s="74"/>
      <c r="G41" s="73"/>
      <c r="H41" s="73"/>
      <c r="I41" s="73"/>
      <c r="J41" s="73"/>
      <c r="K41" s="73"/>
    </row>
    <row r="42" spans="1:11" ht="6" customHeight="1">
      <c r="A42" s="75"/>
      <c r="B42" s="73"/>
      <c r="C42" s="73"/>
      <c r="F42" s="74"/>
      <c r="G42" s="73"/>
      <c r="H42" s="73"/>
      <c r="I42" s="73"/>
      <c r="J42" s="73"/>
      <c r="K42" s="73"/>
    </row>
    <row r="43" spans="1:11" ht="12.75">
      <c r="A43" s="75" t="s">
        <v>23</v>
      </c>
      <c r="B43" s="73"/>
      <c r="C43" s="73" t="s">
        <v>24</v>
      </c>
      <c r="F43" s="74"/>
      <c r="G43" s="73"/>
      <c r="H43" s="73"/>
      <c r="I43" s="73"/>
      <c r="J43" s="73"/>
      <c r="K43" s="73"/>
    </row>
    <row r="44" spans="1:11" ht="6" customHeight="1">
      <c r="A44" s="75"/>
      <c r="B44" s="73"/>
      <c r="C44" s="73"/>
      <c r="D44" s="73"/>
      <c r="F44" s="74"/>
      <c r="G44" s="73"/>
      <c r="H44" s="73"/>
      <c r="I44" s="73"/>
      <c r="J44" s="73"/>
      <c r="K44" s="73"/>
    </row>
    <row r="45" spans="1:11" s="37" customFormat="1" ht="12.75">
      <c r="A45" s="33" t="s">
        <v>30</v>
      </c>
      <c r="B45" s="34"/>
      <c r="C45" s="34" t="s">
        <v>31</v>
      </c>
      <c r="D45" s="35"/>
      <c r="E45" s="36"/>
      <c r="F45" s="34"/>
      <c r="G45" s="34"/>
      <c r="H45" s="34"/>
      <c r="I45" s="34"/>
      <c r="J45" s="34"/>
      <c r="K45" s="34"/>
    </row>
    <row r="46" spans="1:11" s="37" customFormat="1" ht="12.75">
      <c r="A46" s="33"/>
      <c r="B46" s="34"/>
      <c r="C46" s="34" t="s">
        <v>43</v>
      </c>
      <c r="D46" s="35"/>
      <c r="E46" s="36"/>
      <c r="F46" s="34"/>
      <c r="G46" s="34"/>
      <c r="H46" s="34"/>
      <c r="I46" s="34"/>
      <c r="J46" s="34"/>
      <c r="K46" s="34"/>
    </row>
    <row r="47" spans="1:11" s="37" customFormat="1" ht="12.75">
      <c r="A47" s="33"/>
      <c r="B47" s="34"/>
      <c r="C47" s="34" t="s">
        <v>44</v>
      </c>
      <c r="D47" s="35"/>
      <c r="E47" s="36"/>
      <c r="F47" s="34"/>
      <c r="G47" s="34"/>
      <c r="H47" s="34"/>
      <c r="I47" s="34"/>
      <c r="J47" s="34"/>
      <c r="K47" s="34"/>
    </row>
    <row r="48" spans="1:11" s="37" customFormat="1" ht="3.75" customHeight="1">
      <c r="A48" s="33"/>
      <c r="B48" s="34"/>
      <c r="C48" s="34"/>
      <c r="D48" s="35"/>
      <c r="E48" s="36"/>
      <c r="F48" s="34"/>
      <c r="G48" s="34"/>
      <c r="H48" s="34"/>
      <c r="I48" s="34"/>
      <c r="J48" s="34"/>
      <c r="K48" s="34"/>
    </row>
    <row r="49" spans="1:11" s="37" customFormat="1" ht="12.75" customHeight="1">
      <c r="A49" s="33"/>
      <c r="B49" s="34"/>
      <c r="C49" s="100" t="s">
        <v>85</v>
      </c>
      <c r="D49" s="99"/>
      <c r="E49" s="36"/>
      <c r="F49" s="34"/>
      <c r="G49" s="34"/>
      <c r="H49" s="34"/>
      <c r="I49" s="34"/>
      <c r="J49" s="34"/>
      <c r="K49" s="34"/>
    </row>
    <row r="50" spans="1:11" s="37" customFormat="1" ht="12.75">
      <c r="A50" s="33"/>
      <c r="B50" s="34"/>
      <c r="C50" s="34" t="s">
        <v>84</v>
      </c>
      <c r="D50" s="99"/>
      <c r="E50" s="36"/>
      <c r="F50" s="34"/>
      <c r="G50" s="34"/>
      <c r="H50" s="34"/>
      <c r="I50" s="34"/>
      <c r="J50" s="34"/>
      <c r="K50" s="34"/>
    </row>
    <row r="51" spans="1:11" s="37" customFormat="1" ht="12.75">
      <c r="A51" s="33"/>
      <c r="B51" s="34"/>
      <c r="C51" s="34" t="s">
        <v>86</v>
      </c>
      <c r="D51" s="99"/>
      <c r="E51" s="36"/>
      <c r="F51" s="34"/>
      <c r="G51" s="34"/>
      <c r="H51" s="34"/>
      <c r="I51" s="34"/>
      <c r="J51" s="34"/>
      <c r="K51" s="34"/>
    </row>
    <row r="52" spans="1:11" ht="6" customHeight="1">
      <c r="A52" s="75"/>
      <c r="B52" s="73"/>
      <c r="C52" s="73"/>
      <c r="D52" s="73"/>
      <c r="F52" s="74"/>
      <c r="G52" s="73"/>
      <c r="H52" s="73"/>
      <c r="I52" s="73"/>
      <c r="J52" s="73"/>
      <c r="K52" s="73"/>
    </row>
    <row r="53" spans="1:11" s="37" customFormat="1" ht="12.75">
      <c r="A53" s="33" t="s">
        <v>46</v>
      </c>
      <c r="B53" s="34"/>
      <c r="C53" s="34" t="s">
        <v>34</v>
      </c>
      <c r="D53" s="35"/>
      <c r="E53" s="36"/>
      <c r="F53" s="34"/>
      <c r="G53" s="34"/>
      <c r="H53" s="34"/>
      <c r="I53" s="34"/>
      <c r="J53" s="34"/>
      <c r="K53" s="34"/>
    </row>
    <row r="54" spans="1:11" s="37" customFormat="1" ht="12.75">
      <c r="A54" s="38"/>
      <c r="B54" s="34"/>
      <c r="C54" s="34" t="s">
        <v>35</v>
      </c>
      <c r="D54" s="35"/>
      <c r="E54" s="36"/>
      <c r="F54" s="34"/>
      <c r="G54" s="34"/>
      <c r="H54" s="34"/>
      <c r="I54" s="34"/>
      <c r="J54" s="34"/>
      <c r="K54" s="34"/>
    </row>
    <row r="55" spans="1:11" ht="12.75">
      <c r="A55" s="72"/>
      <c r="B55" s="70"/>
      <c r="C55" s="70"/>
      <c r="D55" s="70"/>
      <c r="E55" s="70"/>
      <c r="F55" s="71"/>
      <c r="G55" s="70"/>
      <c r="H55" s="70"/>
      <c r="I55" s="70"/>
      <c r="J55" s="70"/>
      <c r="K55" s="70"/>
    </row>
    <row r="56" spans="1:11" s="69" customFormat="1" ht="12.75">
      <c r="A56" s="104" t="s">
        <v>26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</row>
    <row r="57" ht="12.75">
      <c r="A57" s="59"/>
    </row>
    <row r="58" spans="1:10" ht="13.5">
      <c r="A58" s="68"/>
      <c r="B58" s="65"/>
      <c r="C58" s="67" t="s">
        <v>4</v>
      </c>
      <c r="D58" s="67" t="s">
        <v>41</v>
      </c>
      <c r="E58" s="106" t="s">
        <v>48</v>
      </c>
      <c r="F58" s="106"/>
      <c r="G58" s="106"/>
      <c r="H58" s="106"/>
      <c r="I58" s="106"/>
      <c r="J58" s="106"/>
    </row>
    <row r="59" spans="1:10" ht="12.75">
      <c r="A59" s="66"/>
      <c r="B59" s="65"/>
      <c r="C59" s="63" t="s">
        <v>12</v>
      </c>
      <c r="D59" s="63" t="s">
        <v>42</v>
      </c>
      <c r="E59" s="63" t="s">
        <v>49</v>
      </c>
      <c r="F59" s="63" t="s">
        <v>50</v>
      </c>
      <c r="G59" s="63" t="s">
        <v>51</v>
      </c>
      <c r="H59" s="64"/>
      <c r="I59" s="63" t="s">
        <v>53</v>
      </c>
      <c r="J59" s="63" t="s">
        <v>52</v>
      </c>
    </row>
    <row r="60" spans="1:10" ht="12.75">
      <c r="A60" s="59"/>
      <c r="B60" s="62"/>
      <c r="C60" s="60">
        <v>0.4</v>
      </c>
      <c r="D60" s="60">
        <v>0.1</v>
      </c>
      <c r="E60" s="60">
        <v>0.34</v>
      </c>
      <c r="F60" s="60">
        <v>0.075</v>
      </c>
      <c r="G60" s="60">
        <v>0.015</v>
      </c>
      <c r="H60" s="61"/>
      <c r="I60" s="60">
        <v>0.03</v>
      </c>
      <c r="J60" s="60">
        <v>0.04</v>
      </c>
    </row>
    <row r="61" spans="2:11" ht="12.75">
      <c r="B61" s="62"/>
      <c r="D61" s="60"/>
      <c r="E61" s="60"/>
      <c r="F61" s="60"/>
      <c r="G61" s="60"/>
      <c r="H61" s="61"/>
      <c r="I61" s="60"/>
      <c r="J61" s="60"/>
      <c r="K61" s="60"/>
    </row>
    <row r="62" spans="1:11" ht="12.75">
      <c r="A62" s="59" t="s">
        <v>82</v>
      </c>
      <c r="B62" s="62"/>
      <c r="D62" s="60"/>
      <c r="E62" s="60"/>
      <c r="F62" s="60"/>
      <c r="G62" s="60"/>
      <c r="H62" s="61"/>
      <c r="I62" s="60"/>
      <c r="J62" s="60"/>
      <c r="K62" s="60"/>
    </row>
    <row r="63" spans="1:11" ht="12.75">
      <c r="A63" s="59"/>
      <c r="B63" s="62"/>
      <c r="D63" s="60"/>
      <c r="E63" s="60"/>
      <c r="F63" s="60"/>
      <c r="G63" s="60"/>
      <c r="H63" s="61"/>
      <c r="I63" s="60"/>
      <c r="J63" s="60"/>
      <c r="K63" s="60"/>
    </row>
    <row r="64" spans="1:11" ht="12.75">
      <c r="A64" s="59" t="s">
        <v>79</v>
      </c>
      <c r="B64" s="62"/>
      <c r="D64" s="60"/>
      <c r="E64" s="60"/>
      <c r="F64" s="60"/>
      <c r="G64" s="60"/>
      <c r="H64" s="61"/>
      <c r="I64" s="60"/>
      <c r="J64" s="60"/>
      <c r="K64" s="60"/>
    </row>
    <row r="65" ht="12.75">
      <c r="A65" s="59"/>
    </row>
    <row r="66" ht="13.5" customHeight="1">
      <c r="A66" s="101" t="s">
        <v>61</v>
      </c>
    </row>
  </sheetData>
  <sheetProtection/>
  <mergeCells count="10">
    <mergeCell ref="I10:K10"/>
    <mergeCell ref="A31:K31"/>
    <mergeCell ref="A56:K56"/>
    <mergeCell ref="E58:J58"/>
    <mergeCell ref="A1:K1"/>
    <mergeCell ref="A2:K2"/>
    <mergeCell ref="A3:K3"/>
    <mergeCell ref="A4:K4"/>
    <mergeCell ref="A5:K5"/>
    <mergeCell ref="A8:K8"/>
  </mergeCells>
  <hyperlinks>
    <hyperlink ref="A4" r:id="rId1" display="www.rwnewyork.com"/>
  </hyperlinks>
  <printOptions/>
  <pageMargins left="0.25" right="0.25" top="0.75" bottom="0.5" header="0.5" footer="0.5"/>
  <pageSetup fitToHeight="1" fitToWidth="1" horizontalDpi="600" verticalDpi="600" orientation="portrait" scale="7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zoomScalePageLayoutView="0" workbookViewId="0" topLeftCell="A4">
      <selection activeCell="G28" sqref="G28"/>
    </sheetView>
  </sheetViews>
  <sheetFormatPr defaultColWidth="9.140625" defaultRowHeight="12.75"/>
  <cols>
    <col min="1" max="1" width="9.28125" style="57" customWidth="1"/>
    <col min="2" max="2" width="15.421875" style="55" bestFit="1" customWidth="1"/>
    <col min="3" max="3" width="13.140625" style="55" customWidth="1"/>
    <col min="4" max="4" width="15.421875" style="55" bestFit="1" customWidth="1"/>
    <col min="5" max="5" width="12.7109375" style="55" customWidth="1"/>
    <col min="6" max="6" width="10.28125" style="56" customWidth="1"/>
    <col min="7" max="7" width="10.28125" style="55" customWidth="1"/>
    <col min="8" max="8" width="2.28125" style="55" customWidth="1"/>
    <col min="9" max="9" width="14.00390625" style="55" customWidth="1"/>
    <col min="10" max="11" width="14.140625" style="55" customWidth="1"/>
    <col min="12" max="16384" width="9.140625" style="54" customWidth="1"/>
  </cols>
  <sheetData>
    <row r="1" spans="1:11" ht="18">
      <c r="A1" s="107" t="s">
        <v>45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15">
      <c r="A2" s="108" t="s">
        <v>36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s="92" customFormat="1" ht="15">
      <c r="A3" s="108" t="s">
        <v>37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 s="92" customFormat="1" ht="15">
      <c r="A4" s="109" t="s">
        <v>38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spans="1:11" s="92" customFormat="1" ht="14.25">
      <c r="A5" s="110" t="s">
        <v>39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</row>
    <row r="6" spans="1:11" s="92" customFormat="1" ht="14.2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</row>
    <row r="7" spans="1:11" s="92" customFormat="1" ht="12.75">
      <c r="A7" s="57"/>
      <c r="B7" s="95"/>
      <c r="C7" s="95"/>
      <c r="D7" s="95"/>
      <c r="E7" s="93"/>
      <c r="F7" s="94"/>
      <c r="G7" s="93"/>
      <c r="H7" s="93"/>
      <c r="I7" s="93"/>
      <c r="J7" s="93"/>
      <c r="K7" s="93"/>
    </row>
    <row r="8" spans="1:11" s="96" customFormat="1" ht="14.25" customHeight="1">
      <c r="A8" s="104" t="s">
        <v>83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</row>
    <row r="9" spans="1:11" s="92" customFormat="1" ht="9" customHeight="1">
      <c r="A9" s="57"/>
      <c r="B9" s="95"/>
      <c r="C9" s="95"/>
      <c r="D9" s="95"/>
      <c r="E9" s="93"/>
      <c r="F9" s="94"/>
      <c r="G9" s="93"/>
      <c r="H9" s="93"/>
      <c r="I9" s="93"/>
      <c r="J9" s="93"/>
      <c r="K9" s="93"/>
    </row>
    <row r="10" spans="1:11" s="92" customFormat="1" ht="12.75">
      <c r="A10" s="57"/>
      <c r="B10" s="93"/>
      <c r="C10" s="93"/>
      <c r="D10" s="93"/>
      <c r="E10" s="93"/>
      <c r="F10" s="94"/>
      <c r="G10" s="93"/>
      <c r="H10" s="93"/>
      <c r="I10" s="103" t="s">
        <v>0</v>
      </c>
      <c r="J10" s="103"/>
      <c r="K10" s="103"/>
    </row>
    <row r="11" spans="1:11" s="92" customFormat="1" ht="7.5" customHeight="1">
      <c r="A11" s="57"/>
      <c r="B11" s="93"/>
      <c r="C11" s="93"/>
      <c r="D11" s="93"/>
      <c r="E11" s="93"/>
      <c r="F11" s="94"/>
      <c r="G11" s="93"/>
      <c r="H11" s="93"/>
      <c r="I11" s="93"/>
      <c r="J11" s="93"/>
      <c r="K11" s="93"/>
    </row>
    <row r="12" spans="1:11" s="84" customFormat="1" ht="12">
      <c r="A12" s="91"/>
      <c r="B12" s="89" t="s">
        <v>1</v>
      </c>
      <c r="C12" s="89" t="s">
        <v>29</v>
      </c>
      <c r="D12" s="89" t="s">
        <v>1</v>
      </c>
      <c r="E12" s="89"/>
      <c r="F12" s="90" t="s">
        <v>2</v>
      </c>
      <c r="G12" s="89" t="s">
        <v>3</v>
      </c>
      <c r="H12" s="89"/>
      <c r="I12" s="89" t="s">
        <v>4</v>
      </c>
      <c r="J12" s="89" t="s">
        <v>41</v>
      </c>
      <c r="K12" s="89" t="s">
        <v>40</v>
      </c>
    </row>
    <row r="13" spans="1:11" s="84" customFormat="1" ht="12">
      <c r="A13" s="88" t="s">
        <v>6</v>
      </c>
      <c r="B13" s="85" t="s">
        <v>7</v>
      </c>
      <c r="C13" s="85" t="s">
        <v>14</v>
      </c>
      <c r="D13" s="85" t="s">
        <v>8</v>
      </c>
      <c r="E13" s="85" t="s">
        <v>9</v>
      </c>
      <c r="F13" s="87" t="s">
        <v>10</v>
      </c>
      <c r="G13" s="85" t="s">
        <v>11</v>
      </c>
      <c r="H13" s="86"/>
      <c r="I13" s="85" t="s">
        <v>12</v>
      </c>
      <c r="J13" s="85" t="s">
        <v>42</v>
      </c>
      <c r="K13" s="85" t="s">
        <v>13</v>
      </c>
    </row>
    <row r="15" spans="1:11" ht="12.75">
      <c r="A15" s="57">
        <v>43556</v>
      </c>
      <c r="B15" s="55">
        <v>1218264124.23</v>
      </c>
      <c r="C15" s="55">
        <v>10856257.98</v>
      </c>
      <c r="D15" s="55">
        <f aca="true" t="shared" si="0" ref="D15:D26">IF(ISBLANK(B15),"",B15-C15-E15)</f>
        <v>1146706926.94</v>
      </c>
      <c r="E15" s="55">
        <v>60700939.31</v>
      </c>
      <c r="F15" s="56">
        <f>166230/30</f>
        <v>5541</v>
      </c>
      <c r="G15" s="55">
        <f>_xlfn.IFERROR((E15/F15/30)," ")</f>
        <v>365.16236124646576</v>
      </c>
      <c r="I15" s="55">
        <v>24280375.73</v>
      </c>
      <c r="J15" s="55">
        <v>6070093.95</v>
      </c>
      <c r="K15" s="55">
        <v>30350469.660000004</v>
      </c>
    </row>
    <row r="16" spans="1:11" ht="12.75">
      <c r="A16" s="57">
        <v>43586</v>
      </c>
      <c r="B16" s="55">
        <v>1206413898.33</v>
      </c>
      <c r="C16" s="55">
        <v>11941843.12</v>
      </c>
      <c r="D16" s="55">
        <f t="shared" si="0"/>
        <v>1132648643.1100001</v>
      </c>
      <c r="E16" s="55">
        <v>61823412.1</v>
      </c>
      <c r="F16" s="56">
        <f>171298/31</f>
        <v>5525.741935483871</v>
      </c>
      <c r="G16" s="55">
        <f>_xlfn.IFERROR((E16/F16/31)," ")</f>
        <v>360.91146481570127</v>
      </c>
      <c r="I16" s="55">
        <v>24729364.83</v>
      </c>
      <c r="J16" s="55">
        <v>6182341.21</v>
      </c>
      <c r="K16" s="55">
        <v>30911706.04</v>
      </c>
    </row>
    <row r="17" spans="1:11" ht="12.75">
      <c r="A17" s="57">
        <v>43617</v>
      </c>
      <c r="B17" s="55">
        <v>1110042501.21</v>
      </c>
      <c r="C17" s="55">
        <f>11720853-15259</f>
        <v>11705594</v>
      </c>
      <c r="D17" s="55">
        <f t="shared" si="0"/>
        <v>1042490238.0500001</v>
      </c>
      <c r="E17" s="55">
        <v>55846669.16</v>
      </c>
      <c r="F17" s="56">
        <f>166002/30</f>
        <v>5533.4</v>
      </c>
      <c r="G17" s="55">
        <f>_xlfn.IFERROR((E17/F17/30)," ")</f>
        <v>336.4216645582583</v>
      </c>
      <c r="I17" s="55">
        <v>22338667.66</v>
      </c>
      <c r="J17" s="55">
        <v>5584666.91</v>
      </c>
      <c r="K17" s="55">
        <v>27923334.61</v>
      </c>
    </row>
    <row r="18" spans="1:11" ht="12.75">
      <c r="A18" s="57">
        <v>43647</v>
      </c>
      <c r="B18" s="55">
        <v>1123162238.49</v>
      </c>
      <c r="C18" s="55">
        <f>11013891.06-640054.75</f>
        <v>10373836.31</v>
      </c>
      <c r="D18" s="55">
        <f t="shared" si="0"/>
        <v>1056479262.8700001</v>
      </c>
      <c r="E18" s="55">
        <v>56309139.31</v>
      </c>
      <c r="F18" s="56">
        <f>170505/31</f>
        <v>5500.1612903225805</v>
      </c>
      <c r="G18" s="55">
        <f aca="true" t="shared" si="1" ref="G18:G24">_xlfn.IFERROR((E18/F18/31)," ")</f>
        <v>330.2491968563972</v>
      </c>
      <c r="I18" s="55">
        <v>22523655.73</v>
      </c>
      <c r="J18" s="55">
        <v>5630913.95</v>
      </c>
      <c r="K18" s="55">
        <v>28154569.67</v>
      </c>
    </row>
    <row r="19" spans="1:11" ht="12.75">
      <c r="A19" s="57">
        <v>43678</v>
      </c>
      <c r="B19" s="55">
        <v>1148362885.78</v>
      </c>
      <c r="C19" s="55">
        <v>10056934.140000002</v>
      </c>
      <c r="D19" s="55">
        <f t="shared" si="0"/>
        <v>1078761275.3999999</v>
      </c>
      <c r="E19" s="55">
        <v>59544676.24</v>
      </c>
      <c r="F19" s="56">
        <f>170624/31</f>
        <v>5504</v>
      </c>
      <c r="G19" s="55">
        <f t="shared" si="1"/>
        <v>348.9818328019505</v>
      </c>
      <c r="I19" s="55">
        <v>23817870.500000007</v>
      </c>
      <c r="J19" s="55">
        <v>5954467.640000002</v>
      </c>
      <c r="K19" s="55">
        <v>29772338.130000006</v>
      </c>
    </row>
    <row r="20" spans="1:11" ht="12.75">
      <c r="A20" s="57">
        <v>43709</v>
      </c>
      <c r="B20" s="55">
        <v>1049163309.3499999</v>
      </c>
      <c r="C20" s="55">
        <v>10326851.49</v>
      </c>
      <c r="D20" s="55">
        <f t="shared" si="0"/>
        <v>983828680.83</v>
      </c>
      <c r="E20" s="55">
        <v>55007777.02999985</v>
      </c>
      <c r="F20" s="56">
        <f>168924/30</f>
        <v>5630.8</v>
      </c>
      <c r="G20" s="55">
        <f>_xlfn.IFERROR((E20/F20/30)," ")</f>
        <v>325.63624487935317</v>
      </c>
      <c r="I20" s="55">
        <v>22003110.811999943</v>
      </c>
      <c r="J20" s="55">
        <v>5500777.702999986</v>
      </c>
      <c r="K20" s="55">
        <v>27503888.514999926</v>
      </c>
    </row>
    <row r="21" spans="1:12" ht="12.75">
      <c r="A21" s="57">
        <v>43739</v>
      </c>
      <c r="B21" s="55">
        <v>806743801.4699999</v>
      </c>
      <c r="C21" s="55">
        <v>9493248.02</v>
      </c>
      <c r="D21" s="55">
        <f t="shared" si="0"/>
        <v>746349582.4699999</v>
      </c>
      <c r="E21" s="55">
        <v>50900970.98000006</v>
      </c>
      <c r="F21" s="56">
        <f>171988/31</f>
        <v>5548</v>
      </c>
      <c r="G21" s="55">
        <f t="shared" si="1"/>
        <v>295.9565259204134</v>
      </c>
      <c r="I21" s="55">
        <v>20360388.39</v>
      </c>
      <c r="J21" s="55">
        <v>5090097.12</v>
      </c>
      <c r="K21" s="55">
        <v>25450485.5</v>
      </c>
      <c r="L21" s="83"/>
    </row>
    <row r="22" spans="1:11" ht="12.75">
      <c r="A22" s="57">
        <v>43770</v>
      </c>
      <c r="B22" s="55">
        <v>811726065.72</v>
      </c>
      <c r="C22" s="55">
        <v>9327786.989999998</v>
      </c>
      <c r="D22" s="55">
        <f t="shared" si="0"/>
        <v>751565470.8000001</v>
      </c>
      <c r="E22" s="55">
        <v>50832807.929999985</v>
      </c>
      <c r="F22" s="56">
        <f>166440/30</f>
        <v>5548</v>
      </c>
      <c r="G22" s="55">
        <f>_xlfn.IFERROR((E22/F22/30)," ")</f>
        <v>305.412208183129</v>
      </c>
      <c r="I22" s="55">
        <v>20333123.169999998</v>
      </c>
      <c r="J22" s="55">
        <v>5083280.820000001</v>
      </c>
      <c r="K22" s="55">
        <v>25416403.939999998</v>
      </c>
    </row>
    <row r="23" spans="1:11" ht="12.75">
      <c r="A23" s="57">
        <v>43800</v>
      </c>
      <c r="B23" s="55">
        <v>819056761.7000002</v>
      </c>
      <c r="C23" s="55">
        <v>9177291.86</v>
      </c>
      <c r="D23" s="55">
        <f t="shared" si="0"/>
        <v>758649074.8900001</v>
      </c>
      <c r="E23" s="55">
        <v>51230394.950000025</v>
      </c>
      <c r="F23" s="56">
        <f>171988/31</f>
        <v>5548</v>
      </c>
      <c r="G23" s="55">
        <f t="shared" si="1"/>
        <v>297.8719151917577</v>
      </c>
      <c r="I23" s="55">
        <v>20492157.97</v>
      </c>
      <c r="J23" s="55">
        <v>5123039.539999999</v>
      </c>
      <c r="K23" s="55">
        <v>25615197.51</v>
      </c>
    </row>
    <row r="24" spans="1:11" ht="12.75">
      <c r="A24" s="57">
        <v>43831</v>
      </c>
      <c r="B24" s="55">
        <v>816594137.79</v>
      </c>
      <c r="C24" s="55">
        <v>9615819.4</v>
      </c>
      <c r="D24" s="55">
        <f t="shared" si="0"/>
        <v>754936935.0699999</v>
      </c>
      <c r="E24" s="55">
        <v>52041383.32</v>
      </c>
      <c r="F24" s="56">
        <f>171000/31</f>
        <v>5516.129032258064</v>
      </c>
      <c r="G24" s="55">
        <f t="shared" si="1"/>
        <v>304.33557497076026</v>
      </c>
      <c r="I24" s="55">
        <v>20816553.34</v>
      </c>
      <c r="J24" s="55">
        <v>5204138.33</v>
      </c>
      <c r="K24" s="55">
        <v>26020691.66</v>
      </c>
    </row>
    <row r="25" spans="1:11" ht="12.75">
      <c r="A25" s="57">
        <v>43862</v>
      </c>
      <c r="B25" s="55">
        <v>800639065.94</v>
      </c>
      <c r="C25" s="55">
        <v>9861103.99</v>
      </c>
      <c r="D25" s="55">
        <f t="shared" si="0"/>
        <v>740271044.82</v>
      </c>
      <c r="E25" s="55">
        <v>50506917.13</v>
      </c>
      <c r="F25" s="56">
        <f>159852/29</f>
        <v>5512.137931034483</v>
      </c>
      <c r="G25" s="55">
        <f>_xlfn.IFERROR((E25/F25/29)," ")</f>
        <v>315.9604955208568</v>
      </c>
      <c r="I25" s="55">
        <v>20202766.85</v>
      </c>
      <c r="J25" s="55">
        <v>5050691.720000001</v>
      </c>
      <c r="K25" s="55">
        <v>25253458.55</v>
      </c>
    </row>
    <row r="26" spans="1:11" ht="12.75">
      <c r="A26" s="57">
        <v>43891</v>
      </c>
      <c r="B26" s="55">
        <v>349111105.7899999</v>
      </c>
      <c r="C26" s="55">
        <v>3985758.6099999994</v>
      </c>
      <c r="D26" s="55">
        <f t="shared" si="0"/>
        <v>323973342.9199999</v>
      </c>
      <c r="E26" s="55">
        <v>21152004.25999999</v>
      </c>
      <c r="F26" s="56">
        <f>83220/15</f>
        <v>5548</v>
      </c>
      <c r="G26" s="55">
        <f>_xlfn.IFERROR((E26/F26/15)," ")</f>
        <v>254.16972194184078</v>
      </c>
      <c r="I26" s="55">
        <v>8460801.719999999</v>
      </c>
      <c r="J26" s="55">
        <v>2115200.42</v>
      </c>
      <c r="K26" s="55">
        <v>10576002.1</v>
      </c>
    </row>
    <row r="27" spans="1:11" ht="13.5" thickBot="1">
      <c r="A27" s="82" t="s">
        <v>15</v>
      </c>
      <c r="B27" s="80">
        <f>SUM(B15:B26)</f>
        <v>11259279895.8</v>
      </c>
      <c r="C27" s="80">
        <f>SUM(C15:C26)</f>
        <v>116722325.91</v>
      </c>
      <c r="D27" s="80">
        <f>SUM(D15:D26)</f>
        <v>10516660478.17</v>
      </c>
      <c r="E27" s="80">
        <f>SUM(E15:E26)</f>
        <v>625897091.72</v>
      </c>
      <c r="F27" s="98">
        <f>_xlfn.IFERROR(AVERAGE(F15:F26),"")</f>
        <v>5537.947515758249</v>
      </c>
      <c r="G27" s="80">
        <f>E27/F27/351</f>
        <v>321.9934086444166</v>
      </c>
      <c r="H27" s="81"/>
      <c r="I27" s="80">
        <f>SUM(I15:I26)</f>
        <v>250358836.70199993</v>
      </c>
      <c r="J27" s="80">
        <f>SUM(J15:J26)</f>
        <v>62589709.312999986</v>
      </c>
      <c r="K27" s="80">
        <f>SUM(K15:K26)</f>
        <v>312948545.885</v>
      </c>
    </row>
    <row r="28" spans="2:11" ht="10.5" customHeight="1" thickTop="1">
      <c r="B28" s="79"/>
      <c r="C28" s="79"/>
      <c r="D28" s="79"/>
      <c r="E28" s="79"/>
      <c r="I28" s="79"/>
      <c r="J28" s="79"/>
      <c r="K28" s="79"/>
    </row>
    <row r="29" spans="1:11" s="76" customFormat="1" ht="12.75">
      <c r="A29" s="78"/>
      <c r="B29" s="77"/>
      <c r="C29" s="77">
        <f>_xlfn.IFERROR(C27/B27,"")</f>
        <v>0.010366766524166472</v>
      </c>
      <c r="D29" s="77">
        <f>_xlfn.IFERROR(D27/B27,"")</f>
        <v>0.9340437910325851</v>
      </c>
      <c r="E29" s="77">
        <f>_xlfn.IFERROR(E27/B27,"")</f>
        <v>0.055589442443248586</v>
      </c>
      <c r="I29" s="77">
        <f>_xlfn.IFERROR(I27/$E$27,"")</f>
        <v>0.40000000002236774</v>
      </c>
      <c r="J29" s="77">
        <f>_xlfn.IFERROR(J27/$E$27,"")</f>
        <v>0.10000000022527662</v>
      </c>
      <c r="K29" s="77">
        <f>_xlfn.IFERROR(K27/$E$27,"")</f>
        <v>0.5000000000399426</v>
      </c>
    </row>
    <row r="31" spans="1:11" s="69" customFormat="1" ht="12.75">
      <c r="A31" s="104" t="s">
        <v>16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</row>
    <row r="32" ht="12.75">
      <c r="A32" s="59"/>
    </row>
    <row r="33" spans="1:11" s="37" customFormat="1" ht="12.75" customHeight="1">
      <c r="A33" s="33" t="s">
        <v>17</v>
      </c>
      <c r="B33" s="34"/>
      <c r="C33" s="46" t="s">
        <v>58</v>
      </c>
      <c r="D33" s="47"/>
      <c r="E33" s="47"/>
      <c r="F33" s="47"/>
      <c r="G33" s="47"/>
      <c r="H33" s="47"/>
      <c r="I33" s="47"/>
      <c r="J33" s="47"/>
      <c r="K33" s="47"/>
    </row>
    <row r="34" spans="1:11" s="37" customFormat="1" ht="12.75" customHeight="1">
      <c r="A34" s="33"/>
      <c r="B34" s="34"/>
      <c r="C34" s="46" t="s">
        <v>59</v>
      </c>
      <c r="D34" s="47"/>
      <c r="E34" s="47"/>
      <c r="F34" s="47"/>
      <c r="G34" s="47"/>
      <c r="H34" s="47"/>
      <c r="I34" s="47"/>
      <c r="J34" s="47"/>
      <c r="K34" s="47"/>
    </row>
    <row r="35" spans="1:11" ht="6" customHeight="1">
      <c r="A35" s="75"/>
      <c r="B35" s="73"/>
      <c r="C35" s="73"/>
      <c r="F35" s="73"/>
      <c r="G35" s="73"/>
      <c r="H35" s="73"/>
      <c r="I35" s="73"/>
      <c r="J35" s="73"/>
      <c r="K35" s="73"/>
    </row>
    <row r="36" spans="1:11" ht="12.75">
      <c r="A36" s="75" t="s">
        <v>60</v>
      </c>
      <c r="B36" s="73"/>
      <c r="C36" s="73" t="s">
        <v>47</v>
      </c>
      <c r="F36" s="73"/>
      <c r="G36" s="73"/>
      <c r="H36" s="73"/>
      <c r="I36" s="73"/>
      <c r="J36" s="73"/>
      <c r="K36" s="73"/>
    </row>
    <row r="37" spans="1:11" ht="6" customHeight="1">
      <c r="A37" s="75"/>
      <c r="B37" s="73"/>
      <c r="C37" s="73"/>
      <c r="F37" s="73"/>
      <c r="G37" s="73"/>
      <c r="H37" s="73"/>
      <c r="I37" s="73"/>
      <c r="J37" s="73"/>
      <c r="K37" s="73"/>
    </row>
    <row r="38" spans="1:11" ht="12.75">
      <c r="A38" s="75" t="s">
        <v>18</v>
      </c>
      <c r="B38" s="73"/>
      <c r="C38" s="46" t="s">
        <v>63</v>
      </c>
      <c r="F38" s="73"/>
      <c r="G38" s="73"/>
      <c r="H38" s="73"/>
      <c r="I38" s="73"/>
      <c r="J38" s="73"/>
      <c r="K38" s="73"/>
    </row>
    <row r="39" spans="1:11" ht="6" customHeight="1">
      <c r="A39" s="75"/>
      <c r="B39" s="73"/>
      <c r="C39" s="73"/>
      <c r="F39" s="73"/>
      <c r="G39" s="73"/>
      <c r="H39" s="73"/>
      <c r="I39" s="73"/>
      <c r="J39" s="73"/>
      <c r="K39" s="73"/>
    </row>
    <row r="40" spans="1:11" ht="12.75">
      <c r="A40" s="75" t="s">
        <v>20</v>
      </c>
      <c r="B40" s="73"/>
      <c r="C40" s="73" t="s">
        <v>21</v>
      </c>
      <c r="F40" s="74"/>
      <c r="G40" s="73"/>
      <c r="H40" s="73"/>
      <c r="I40" s="73"/>
      <c r="J40" s="73"/>
      <c r="K40" s="73"/>
    </row>
    <row r="41" spans="1:11" ht="12.75">
      <c r="A41" s="75"/>
      <c r="B41" s="73"/>
      <c r="C41" s="73" t="s">
        <v>22</v>
      </c>
      <c r="F41" s="74"/>
      <c r="G41" s="73"/>
      <c r="H41" s="73"/>
      <c r="I41" s="73"/>
      <c r="J41" s="73"/>
      <c r="K41" s="73"/>
    </row>
    <row r="42" spans="1:11" ht="6" customHeight="1">
      <c r="A42" s="75"/>
      <c r="B42" s="73"/>
      <c r="C42" s="73"/>
      <c r="F42" s="74"/>
      <c r="G42" s="73"/>
      <c r="H42" s="73"/>
      <c r="I42" s="73"/>
      <c r="J42" s="73"/>
      <c r="K42" s="73"/>
    </row>
    <row r="43" spans="1:11" ht="12.75">
      <c r="A43" s="75" t="s">
        <v>23</v>
      </c>
      <c r="B43" s="73"/>
      <c r="C43" s="73" t="s">
        <v>24</v>
      </c>
      <c r="F43" s="74"/>
      <c r="G43" s="73"/>
      <c r="H43" s="73"/>
      <c r="I43" s="73"/>
      <c r="J43" s="73"/>
      <c r="K43" s="73"/>
    </row>
    <row r="44" spans="1:11" ht="6" customHeight="1">
      <c r="A44" s="75"/>
      <c r="B44" s="73"/>
      <c r="C44" s="73"/>
      <c r="D44" s="73"/>
      <c r="F44" s="74"/>
      <c r="G44" s="73"/>
      <c r="H44" s="73"/>
      <c r="I44" s="73"/>
      <c r="J44" s="73"/>
      <c r="K44" s="73"/>
    </row>
    <row r="45" spans="1:11" s="37" customFormat="1" ht="12.75">
      <c r="A45" s="33" t="s">
        <v>30</v>
      </c>
      <c r="B45" s="34"/>
      <c r="C45" s="34" t="s">
        <v>31</v>
      </c>
      <c r="D45" s="35"/>
      <c r="E45" s="36"/>
      <c r="F45" s="34"/>
      <c r="G45" s="34"/>
      <c r="H45" s="34"/>
      <c r="I45" s="34"/>
      <c r="J45" s="34"/>
      <c r="K45" s="34"/>
    </row>
    <row r="46" spans="1:11" s="37" customFormat="1" ht="12.75">
      <c r="A46" s="33"/>
      <c r="B46" s="34"/>
      <c r="C46" s="34" t="s">
        <v>43</v>
      </c>
      <c r="D46" s="35"/>
      <c r="E46" s="36"/>
      <c r="F46" s="34"/>
      <c r="G46" s="34"/>
      <c r="H46" s="34"/>
      <c r="I46" s="34"/>
      <c r="J46" s="34"/>
      <c r="K46" s="34"/>
    </row>
    <row r="47" spans="1:11" s="37" customFormat="1" ht="12.75">
      <c r="A47" s="33"/>
      <c r="B47" s="34"/>
      <c r="C47" s="34" t="s">
        <v>44</v>
      </c>
      <c r="D47" s="35"/>
      <c r="E47" s="36"/>
      <c r="F47" s="34"/>
      <c r="G47" s="34"/>
      <c r="H47" s="34"/>
      <c r="I47" s="34"/>
      <c r="J47" s="34"/>
      <c r="K47" s="34"/>
    </row>
    <row r="48" spans="1:11" s="37" customFormat="1" ht="3.75" customHeight="1">
      <c r="A48" s="33"/>
      <c r="B48" s="34"/>
      <c r="C48" s="34"/>
      <c r="D48" s="35"/>
      <c r="E48" s="36"/>
      <c r="F48" s="34"/>
      <c r="G48" s="34"/>
      <c r="H48" s="34"/>
      <c r="I48" s="34"/>
      <c r="J48" s="34"/>
      <c r="K48" s="34"/>
    </row>
    <row r="49" spans="1:11" s="37" customFormat="1" ht="12.75" customHeight="1">
      <c r="A49" s="33"/>
      <c r="B49" s="34"/>
      <c r="C49" s="100" t="s">
        <v>85</v>
      </c>
      <c r="D49" s="99"/>
      <c r="E49" s="36"/>
      <c r="F49" s="34"/>
      <c r="G49" s="34"/>
      <c r="H49" s="34"/>
      <c r="I49" s="34"/>
      <c r="J49" s="34"/>
      <c r="K49" s="34"/>
    </row>
    <row r="50" spans="1:11" s="37" customFormat="1" ht="12.75">
      <c r="A50" s="33"/>
      <c r="B50" s="34"/>
      <c r="C50" s="34" t="s">
        <v>84</v>
      </c>
      <c r="D50" s="99"/>
      <c r="E50" s="36"/>
      <c r="F50" s="34"/>
      <c r="G50" s="34"/>
      <c r="H50" s="34"/>
      <c r="I50" s="34"/>
      <c r="J50" s="34"/>
      <c r="K50" s="34"/>
    </row>
    <row r="51" spans="1:11" s="37" customFormat="1" ht="12.75">
      <c r="A51" s="33"/>
      <c r="B51" s="34"/>
      <c r="C51" s="34" t="s">
        <v>86</v>
      </c>
      <c r="D51" s="99"/>
      <c r="E51" s="36"/>
      <c r="F51" s="34"/>
      <c r="G51" s="34"/>
      <c r="H51" s="34"/>
      <c r="I51" s="34"/>
      <c r="J51" s="34"/>
      <c r="K51" s="34"/>
    </row>
    <row r="52" spans="1:11" ht="6" customHeight="1">
      <c r="A52" s="75"/>
      <c r="B52" s="73"/>
      <c r="C52" s="73"/>
      <c r="D52" s="73"/>
      <c r="F52" s="74"/>
      <c r="G52" s="73"/>
      <c r="H52" s="73"/>
      <c r="I52" s="73"/>
      <c r="J52" s="73"/>
      <c r="K52" s="73"/>
    </row>
    <row r="53" spans="1:11" s="37" customFormat="1" ht="12.75">
      <c r="A53" s="33" t="s">
        <v>46</v>
      </c>
      <c r="B53" s="34"/>
      <c r="C53" s="34" t="s">
        <v>34</v>
      </c>
      <c r="D53" s="35"/>
      <c r="E53" s="36"/>
      <c r="F53" s="34"/>
      <c r="G53" s="34"/>
      <c r="H53" s="34"/>
      <c r="I53" s="34"/>
      <c r="J53" s="34"/>
      <c r="K53" s="34"/>
    </row>
    <row r="54" spans="1:11" s="37" customFormat="1" ht="12.75">
      <c r="A54" s="38"/>
      <c r="B54" s="34"/>
      <c r="C54" s="34" t="s">
        <v>35</v>
      </c>
      <c r="D54" s="35"/>
      <c r="E54" s="36"/>
      <c r="F54" s="34"/>
      <c r="G54" s="34"/>
      <c r="H54" s="34"/>
      <c r="I54" s="34"/>
      <c r="J54" s="34"/>
      <c r="K54" s="34"/>
    </row>
    <row r="55" spans="1:11" ht="12.75">
      <c r="A55" s="72"/>
      <c r="B55" s="70"/>
      <c r="C55" s="70"/>
      <c r="D55" s="70"/>
      <c r="E55" s="70"/>
      <c r="F55" s="71"/>
      <c r="G55" s="70"/>
      <c r="H55" s="70"/>
      <c r="I55" s="70"/>
      <c r="J55" s="70"/>
      <c r="K55" s="70"/>
    </row>
    <row r="56" spans="1:11" s="69" customFormat="1" ht="12.75">
      <c r="A56" s="104" t="s">
        <v>26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</row>
    <row r="57" ht="12.75">
      <c r="A57" s="59"/>
    </row>
    <row r="58" spans="1:10" ht="13.5">
      <c r="A58" s="68"/>
      <c r="B58" s="65"/>
      <c r="C58" s="67" t="s">
        <v>4</v>
      </c>
      <c r="D58" s="67" t="s">
        <v>41</v>
      </c>
      <c r="E58" s="106" t="s">
        <v>48</v>
      </c>
      <c r="F58" s="106"/>
      <c r="G58" s="106"/>
      <c r="H58" s="106"/>
      <c r="I58" s="106"/>
      <c r="J58" s="106"/>
    </row>
    <row r="59" spans="1:10" ht="12.75">
      <c r="A59" s="66"/>
      <c r="B59" s="65"/>
      <c r="C59" s="63" t="s">
        <v>12</v>
      </c>
      <c r="D59" s="63" t="s">
        <v>42</v>
      </c>
      <c r="E59" s="63" t="s">
        <v>49</v>
      </c>
      <c r="F59" s="63" t="s">
        <v>50</v>
      </c>
      <c r="G59" s="63" t="s">
        <v>51</v>
      </c>
      <c r="H59" s="64"/>
      <c r="I59" s="63" t="s">
        <v>53</v>
      </c>
      <c r="J59" s="63" t="s">
        <v>52</v>
      </c>
    </row>
    <row r="60" spans="1:10" ht="12.75">
      <c r="A60" s="59"/>
      <c r="B60" s="62"/>
      <c r="C60" s="60">
        <v>0.4</v>
      </c>
      <c r="D60" s="60">
        <v>0.1</v>
      </c>
      <c r="E60" s="60">
        <v>0.34</v>
      </c>
      <c r="F60" s="60">
        <v>0.075</v>
      </c>
      <c r="G60" s="60">
        <v>0.015</v>
      </c>
      <c r="H60" s="61"/>
      <c r="I60" s="60">
        <v>0.03</v>
      </c>
      <c r="J60" s="60">
        <v>0.04</v>
      </c>
    </row>
    <row r="61" spans="2:11" ht="12.75">
      <c r="B61" s="62"/>
      <c r="D61" s="60"/>
      <c r="E61" s="60"/>
      <c r="F61" s="60"/>
      <c r="G61" s="60"/>
      <c r="H61" s="61"/>
      <c r="I61" s="60"/>
      <c r="J61" s="60"/>
      <c r="K61" s="60"/>
    </row>
    <row r="62" spans="1:11" ht="12.75">
      <c r="A62" s="59" t="s">
        <v>82</v>
      </c>
      <c r="B62" s="62"/>
      <c r="D62" s="60"/>
      <c r="E62" s="60"/>
      <c r="F62" s="60"/>
      <c r="G62" s="60"/>
      <c r="H62" s="61"/>
      <c r="I62" s="60"/>
      <c r="J62" s="60"/>
      <c r="K62" s="60"/>
    </row>
    <row r="63" spans="1:11" ht="12.75">
      <c r="A63" s="59"/>
      <c r="B63" s="62"/>
      <c r="D63" s="60"/>
      <c r="E63" s="60"/>
      <c r="F63" s="60"/>
      <c r="G63" s="60"/>
      <c r="H63" s="61"/>
      <c r="I63" s="60"/>
      <c r="J63" s="60"/>
      <c r="K63" s="60"/>
    </row>
    <row r="64" spans="1:11" ht="12.75">
      <c r="A64" s="59" t="s">
        <v>79</v>
      </c>
      <c r="B64" s="62"/>
      <c r="D64" s="60"/>
      <c r="E64" s="60"/>
      <c r="F64" s="60"/>
      <c r="G64" s="60"/>
      <c r="H64" s="61"/>
      <c r="I64" s="60"/>
      <c r="J64" s="60"/>
      <c r="K64" s="60"/>
    </row>
    <row r="65" ht="12.75">
      <c r="A65" s="59"/>
    </row>
    <row r="66" ht="12.75">
      <c r="A66" s="58" t="s">
        <v>61</v>
      </c>
    </row>
  </sheetData>
  <sheetProtection/>
  <mergeCells count="10">
    <mergeCell ref="I10:K10"/>
    <mergeCell ref="A31:K31"/>
    <mergeCell ref="A56:K56"/>
    <mergeCell ref="E58:J58"/>
    <mergeCell ref="A1:K1"/>
    <mergeCell ref="A2:K2"/>
    <mergeCell ref="A3:K3"/>
    <mergeCell ref="A4:K4"/>
    <mergeCell ref="A5:K5"/>
    <mergeCell ref="A8:K8"/>
  </mergeCells>
  <hyperlinks>
    <hyperlink ref="A4" r:id="rId1" display="www.rwnewyork.com"/>
  </hyperlinks>
  <printOptions/>
  <pageMargins left="0.25" right="0.25" top="0.75" bottom="0.5" header="0.5" footer="0.5"/>
  <pageSetup fitToHeight="1" fitToWidth="1" horizontalDpi="600" verticalDpi="600" orientation="portrait" scale="79" r:id="rId3"/>
  <ignoredErrors>
    <ignoredError sqref="G16:G24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9.28125" style="57" customWidth="1"/>
    <col min="2" max="2" width="15.421875" style="55" bestFit="1" customWidth="1"/>
    <col min="3" max="3" width="13.140625" style="55" customWidth="1"/>
    <col min="4" max="4" width="15.421875" style="55" bestFit="1" customWidth="1"/>
    <col min="5" max="5" width="12.7109375" style="55" customWidth="1"/>
    <col min="6" max="6" width="8.28125" style="56" bestFit="1" customWidth="1"/>
    <col min="7" max="7" width="10.7109375" style="55" customWidth="1"/>
    <col min="8" max="8" width="1.421875" style="55" customWidth="1"/>
    <col min="9" max="10" width="12.7109375" style="55" bestFit="1" customWidth="1"/>
    <col min="11" max="11" width="12.00390625" style="55" customWidth="1"/>
    <col min="12" max="12" width="12.28125" style="55" customWidth="1"/>
    <col min="13" max="13" width="12.7109375" style="54" customWidth="1"/>
    <col min="14" max="16384" width="9.140625" style="54" customWidth="1"/>
  </cols>
  <sheetData>
    <row r="1" spans="1:13" ht="18">
      <c r="A1" s="107" t="s">
        <v>45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2" ht="15">
      <c r="A2" s="108" t="s">
        <v>36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s="92" customFormat="1" ht="15">
      <c r="A3" s="108" t="s">
        <v>37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2" s="92" customFormat="1" ht="15">
      <c r="A4" s="109" t="s">
        <v>38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s="92" customFormat="1" ht="14.25">
      <c r="A5" s="110" t="s">
        <v>39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1:12" s="92" customFormat="1" ht="14.2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</row>
    <row r="7" spans="1:12" s="92" customFormat="1" ht="12.75">
      <c r="A7" s="57"/>
      <c r="B7" s="95"/>
      <c r="C7" s="95"/>
      <c r="D7" s="95"/>
      <c r="E7" s="93"/>
      <c r="F7" s="94"/>
      <c r="G7" s="93"/>
      <c r="H7" s="93"/>
      <c r="I7" s="93"/>
      <c r="J7" s="93"/>
      <c r="K7" s="93"/>
      <c r="L7" s="93"/>
    </row>
    <row r="8" spans="1:13" s="96" customFormat="1" ht="14.25" customHeight="1">
      <c r="A8" s="104" t="s">
        <v>81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11"/>
    </row>
    <row r="9" spans="1:12" s="92" customFormat="1" ht="9" customHeight="1">
      <c r="A9" s="57"/>
      <c r="B9" s="95"/>
      <c r="C9" s="95"/>
      <c r="D9" s="95"/>
      <c r="E9" s="93"/>
      <c r="F9" s="94"/>
      <c r="G9" s="93"/>
      <c r="H9" s="93"/>
      <c r="I9" s="93"/>
      <c r="J9" s="93"/>
      <c r="K9" s="93"/>
      <c r="L9" s="93"/>
    </row>
    <row r="10" spans="1:13" s="92" customFormat="1" ht="12.75">
      <c r="A10" s="57"/>
      <c r="B10" s="93"/>
      <c r="C10" s="93"/>
      <c r="D10" s="93"/>
      <c r="E10" s="93"/>
      <c r="F10" s="94"/>
      <c r="G10" s="93"/>
      <c r="H10" s="93"/>
      <c r="I10" s="103" t="s">
        <v>0</v>
      </c>
      <c r="J10" s="103"/>
      <c r="K10" s="103"/>
      <c r="L10" s="103"/>
      <c r="M10" s="103"/>
    </row>
    <row r="11" spans="1:12" s="92" customFormat="1" ht="7.5" customHeight="1">
      <c r="A11" s="57"/>
      <c r="B11" s="93"/>
      <c r="C11" s="93"/>
      <c r="D11" s="93"/>
      <c r="E11" s="93"/>
      <c r="F11" s="94"/>
      <c r="G11" s="93"/>
      <c r="H11" s="93"/>
      <c r="I11" s="93"/>
      <c r="J11" s="93"/>
      <c r="K11" s="93"/>
      <c r="L11" s="93"/>
    </row>
    <row r="12" spans="1:13" s="84" customFormat="1" ht="12">
      <c r="A12" s="91"/>
      <c r="B12" s="89" t="s">
        <v>1</v>
      </c>
      <c r="C12" s="89" t="s">
        <v>29</v>
      </c>
      <c r="D12" s="89" t="s">
        <v>1</v>
      </c>
      <c r="E12" s="89"/>
      <c r="F12" s="90" t="s">
        <v>2</v>
      </c>
      <c r="G12" s="89" t="s">
        <v>3</v>
      </c>
      <c r="H12" s="89"/>
      <c r="I12" s="89" t="s">
        <v>4</v>
      </c>
      <c r="J12" s="89" t="s">
        <v>40</v>
      </c>
      <c r="K12" s="89" t="s">
        <v>5</v>
      </c>
      <c r="L12" s="89" t="s">
        <v>41</v>
      </c>
      <c r="M12" s="89" t="s">
        <v>67</v>
      </c>
    </row>
    <row r="13" spans="1:13" s="84" customFormat="1" ht="12">
      <c r="A13" s="88" t="s">
        <v>6</v>
      </c>
      <c r="B13" s="85" t="s">
        <v>7</v>
      </c>
      <c r="C13" s="85" t="s">
        <v>14</v>
      </c>
      <c r="D13" s="85" t="s">
        <v>8</v>
      </c>
      <c r="E13" s="85" t="s">
        <v>9</v>
      </c>
      <c r="F13" s="87" t="s">
        <v>10</v>
      </c>
      <c r="G13" s="85" t="s">
        <v>11</v>
      </c>
      <c r="H13" s="86"/>
      <c r="I13" s="85" t="s">
        <v>12</v>
      </c>
      <c r="J13" s="85" t="s">
        <v>13</v>
      </c>
      <c r="K13" s="85" t="s">
        <v>14</v>
      </c>
      <c r="L13" s="85" t="s">
        <v>42</v>
      </c>
      <c r="M13" s="85" t="s">
        <v>68</v>
      </c>
    </row>
    <row r="14" ht="12.75">
      <c r="M14" s="55"/>
    </row>
    <row r="15" spans="1:13" ht="12.75">
      <c r="A15" s="57">
        <v>43191</v>
      </c>
      <c r="B15" s="55">
        <v>1217910822.46</v>
      </c>
      <c r="C15" s="55">
        <v>10826115.09</v>
      </c>
      <c r="D15" s="55">
        <f aca="true" t="shared" si="0" ref="D15:D26">IF(ISBLANK(B15),"",B15-C15-E15)</f>
        <v>1146233774.68</v>
      </c>
      <c r="E15" s="55">
        <v>60850932.69</v>
      </c>
      <c r="F15" s="56">
        <f>166350/30</f>
        <v>5545</v>
      </c>
      <c r="G15" s="55">
        <f>_xlfn.IFERROR((E15/F15/30)," ")</f>
        <v>365.8006173128945</v>
      </c>
      <c r="I15" s="55">
        <v>26165901.06</v>
      </c>
      <c r="J15" s="55">
        <v>23123354.41</v>
      </c>
      <c r="K15" s="55">
        <v>4868074.63</v>
      </c>
      <c r="L15" s="55">
        <v>6085093.28</v>
      </c>
      <c r="M15" s="55">
        <v>608509.32</v>
      </c>
    </row>
    <row r="16" spans="1:13" ht="12.75">
      <c r="A16" s="57">
        <v>43221</v>
      </c>
      <c r="B16" s="55">
        <v>1205964967.96</v>
      </c>
      <c r="C16" s="55">
        <f>10378377.5-11373.66</f>
        <v>10367003.84</v>
      </c>
      <c r="D16" s="55">
        <f t="shared" si="0"/>
        <v>1135210152.15</v>
      </c>
      <c r="E16" s="55">
        <v>60387811.97</v>
      </c>
      <c r="F16" s="56">
        <f>171895/31</f>
        <v>5545</v>
      </c>
      <c r="G16" s="55">
        <f>_xlfn.IFERROR((E16/F16/31)," ")</f>
        <v>351.30639035457693</v>
      </c>
      <c r="I16" s="55">
        <v>25966759.14</v>
      </c>
      <c r="J16" s="55">
        <v>22947368.57</v>
      </c>
      <c r="K16" s="55">
        <v>4831024.94</v>
      </c>
      <c r="L16" s="55">
        <v>6038781.2</v>
      </c>
      <c r="M16" s="55">
        <v>603878.13</v>
      </c>
    </row>
    <row r="17" spans="1:13" ht="12.75">
      <c r="A17" s="57">
        <v>43252</v>
      </c>
      <c r="B17" s="55">
        <v>1142950118.93</v>
      </c>
      <c r="C17" s="55">
        <f>9698960.7-3720</f>
        <v>9695240.7</v>
      </c>
      <c r="D17" s="55">
        <f t="shared" si="0"/>
        <v>1076311949.46</v>
      </c>
      <c r="E17" s="55">
        <v>56942928.77</v>
      </c>
      <c r="F17" s="56">
        <f>166350/30</f>
        <v>5545</v>
      </c>
      <c r="G17" s="55">
        <f aca="true" t="shared" si="1" ref="G17:G22">_xlfn.IFERROR((E17/F17/30)," ")</f>
        <v>342.3079577397055</v>
      </c>
      <c r="I17" s="55">
        <v>24485459.36</v>
      </c>
      <c r="J17" s="55">
        <v>21638312.92</v>
      </c>
      <c r="K17" s="55">
        <v>4555434.28</v>
      </c>
      <c r="L17" s="55">
        <v>5694292.88</v>
      </c>
      <c r="M17" s="55">
        <v>569429.3</v>
      </c>
    </row>
    <row r="18" spans="1:13" ht="12.75">
      <c r="A18" s="57">
        <v>43282</v>
      </c>
      <c r="B18" s="55">
        <v>1173944990.08</v>
      </c>
      <c r="C18" s="55">
        <f>10322320.11-5818.5</f>
        <v>10316501.61</v>
      </c>
      <c r="D18" s="55">
        <f t="shared" si="0"/>
        <v>1105085218.8500001</v>
      </c>
      <c r="E18" s="55">
        <v>58543269.62</v>
      </c>
      <c r="F18" s="56">
        <f>171895/31</f>
        <v>5545</v>
      </c>
      <c r="G18" s="55">
        <f>_xlfn.IFERROR((E18/F18/31)," ")</f>
        <v>340.57575624654584</v>
      </c>
      <c r="I18" s="55">
        <v>25173605.94</v>
      </c>
      <c r="J18" s="55">
        <v>22246442.45</v>
      </c>
      <c r="K18" s="55">
        <v>4683461.59</v>
      </c>
      <c r="L18" s="55">
        <v>5854326.96</v>
      </c>
      <c r="M18" s="55">
        <v>585432.69</v>
      </c>
    </row>
    <row r="19" spans="1:13" ht="12.75">
      <c r="A19" s="57">
        <v>43313</v>
      </c>
      <c r="B19" s="55">
        <v>1167945149.22</v>
      </c>
      <c r="C19" s="55">
        <v>10387660.36</v>
      </c>
      <c r="D19" s="55">
        <f t="shared" si="0"/>
        <v>1099586412.64</v>
      </c>
      <c r="E19" s="55">
        <v>57971076.22</v>
      </c>
      <c r="F19" s="56">
        <f>171895/31</f>
        <v>5545</v>
      </c>
      <c r="G19" s="55">
        <f>_xlfn.IFERROR((E19/F19/31)," ")</f>
        <v>337.24701835422786</v>
      </c>
      <c r="I19" s="55">
        <v>24927562.76</v>
      </c>
      <c r="J19" s="55">
        <v>22029008.96</v>
      </c>
      <c r="K19" s="55">
        <v>4637686.1</v>
      </c>
      <c r="L19" s="55">
        <v>5797107.63</v>
      </c>
      <c r="M19" s="55">
        <v>579710.78</v>
      </c>
    </row>
    <row r="20" spans="1:13" ht="12.75">
      <c r="A20" s="57">
        <v>43344</v>
      </c>
      <c r="B20" s="55">
        <v>1114292894.07</v>
      </c>
      <c r="C20" s="55">
        <f>8499843.78-8914.8</f>
        <v>8490928.979999999</v>
      </c>
      <c r="D20" s="55">
        <f t="shared" si="0"/>
        <v>1047394110.0999999</v>
      </c>
      <c r="E20" s="55">
        <v>58407854.99</v>
      </c>
      <c r="F20" s="56">
        <f>166350/30</f>
        <v>5545</v>
      </c>
      <c r="G20" s="55">
        <f t="shared" si="1"/>
        <v>351.1142470093177</v>
      </c>
      <c r="I20" s="55">
        <v>25115377.66</v>
      </c>
      <c r="J20" s="55">
        <v>22194984.89</v>
      </c>
      <c r="K20" s="55">
        <v>4672628.4</v>
      </c>
      <c r="L20" s="55">
        <v>5840785.51</v>
      </c>
      <c r="M20" s="55">
        <v>584078.54</v>
      </c>
    </row>
    <row r="21" spans="1:14" ht="12.75">
      <c r="A21" s="57">
        <v>43374</v>
      </c>
      <c r="B21" s="55">
        <v>1114695944.76</v>
      </c>
      <c r="C21" s="55">
        <f>9555477.47-2444.84</f>
        <v>9553032.63</v>
      </c>
      <c r="D21" s="55">
        <f t="shared" si="0"/>
        <v>1050535302.3599999</v>
      </c>
      <c r="E21" s="55">
        <v>54607609.77</v>
      </c>
      <c r="F21" s="56">
        <f>171895/31</f>
        <v>5545</v>
      </c>
      <c r="G21" s="55">
        <f>_xlfn.IFERROR((E21/F21/31)," ")</f>
        <v>317.6800358940051</v>
      </c>
      <c r="I21" s="55">
        <v>23481272.2</v>
      </c>
      <c r="J21" s="55">
        <v>20750891.71</v>
      </c>
      <c r="K21" s="55">
        <v>4368608.78</v>
      </c>
      <c r="L21" s="55">
        <v>5460760.98</v>
      </c>
      <c r="M21" s="55">
        <v>546076.1</v>
      </c>
      <c r="N21" s="83"/>
    </row>
    <row r="22" spans="1:13" ht="12.75">
      <c r="A22" s="57">
        <v>43405</v>
      </c>
      <c r="B22" s="55">
        <v>1082497190.83</v>
      </c>
      <c r="C22" s="55">
        <v>8560986.79</v>
      </c>
      <c r="D22" s="55">
        <f t="shared" si="0"/>
        <v>1019522664.02</v>
      </c>
      <c r="E22" s="55">
        <v>54413540.02</v>
      </c>
      <c r="F22" s="56">
        <f>166096/30</f>
        <v>5536.533333333334</v>
      </c>
      <c r="G22" s="55">
        <f t="shared" si="1"/>
        <v>327.60295262980446</v>
      </c>
      <c r="I22" s="55">
        <v>23397822.22</v>
      </c>
      <c r="J22" s="55">
        <v>20677145.21</v>
      </c>
      <c r="K22" s="55">
        <v>4353083.18</v>
      </c>
      <c r="L22" s="55">
        <v>5441354.01</v>
      </c>
      <c r="M22" s="55">
        <v>544135.39</v>
      </c>
    </row>
    <row r="23" spans="1:13" ht="12.75">
      <c r="A23" s="57">
        <v>43435</v>
      </c>
      <c r="B23" s="55">
        <v>1171996238.02</v>
      </c>
      <c r="C23" s="55">
        <f>10779071.59-33119.9</f>
        <v>10745951.69</v>
      </c>
      <c r="D23" s="55">
        <f t="shared" si="0"/>
        <v>1103399342.11</v>
      </c>
      <c r="E23" s="55">
        <v>57850944.22</v>
      </c>
      <c r="F23" s="56">
        <f>172230/31</f>
        <v>5555.806451612903</v>
      </c>
      <c r="G23" s="55">
        <f>_xlfn.IFERROR((E23/F23/31)," ")</f>
        <v>335.8935389885618</v>
      </c>
      <c r="I23" s="55">
        <v>24875906</v>
      </c>
      <c r="J23" s="55">
        <v>21983358.81</v>
      </c>
      <c r="K23" s="55">
        <v>4628075.54</v>
      </c>
      <c r="L23" s="55">
        <v>5785094.43</v>
      </c>
      <c r="M23" s="55">
        <v>578509.46</v>
      </c>
    </row>
    <row r="24" spans="1:13" ht="12.75">
      <c r="A24" s="57">
        <v>43466</v>
      </c>
      <c r="B24" s="55">
        <v>1157468922.47</v>
      </c>
      <c r="C24" s="55">
        <v>9668098.32</v>
      </c>
      <c r="D24" s="55">
        <f t="shared" si="0"/>
        <v>1091425417.48</v>
      </c>
      <c r="E24" s="55">
        <v>56375406.67</v>
      </c>
      <c r="F24" s="56">
        <f>172794/31</f>
        <v>5574</v>
      </c>
      <c r="G24" s="55">
        <f>_xlfn.IFERROR((E24/F24/31)," ")</f>
        <v>326.257894776439</v>
      </c>
      <c r="I24" s="55">
        <v>24241424.86</v>
      </c>
      <c r="J24" s="55">
        <v>21422654.52</v>
      </c>
      <c r="K24" s="55">
        <v>4510032.54</v>
      </c>
      <c r="L24" s="55">
        <v>5637540.71</v>
      </c>
      <c r="M24" s="55">
        <v>563754.07</v>
      </c>
    </row>
    <row r="25" spans="1:13" ht="12.75">
      <c r="A25" s="57">
        <v>43497</v>
      </c>
      <c r="B25" s="55">
        <v>1114197956.49</v>
      </c>
      <c r="C25" s="55">
        <f>8947442.34-769340.53</f>
        <v>8178101.81</v>
      </c>
      <c r="D25" s="55">
        <f t="shared" si="0"/>
        <v>1049212059.35</v>
      </c>
      <c r="E25" s="55">
        <v>56807795.33</v>
      </c>
      <c r="F25" s="56">
        <f>155549/28</f>
        <v>5555.321428571428</v>
      </c>
      <c r="G25" s="55">
        <f>_xlfn.IFERROR((E25/F25/28)," ")</f>
        <v>365.20836090235235</v>
      </c>
      <c r="I25" s="55">
        <v>24427352</v>
      </c>
      <c r="J25" s="55">
        <v>21586962.23</v>
      </c>
      <c r="K25" s="55">
        <v>4544623.63</v>
      </c>
      <c r="L25" s="55">
        <v>5680779.54</v>
      </c>
      <c r="M25" s="55">
        <v>568077.95</v>
      </c>
    </row>
    <row r="26" spans="1:13" ht="12.75">
      <c r="A26" s="57">
        <v>43525</v>
      </c>
      <c r="B26" s="55">
        <v>1288907379.48</v>
      </c>
      <c r="C26" s="55">
        <v>10726060.49</v>
      </c>
      <c r="D26" s="55">
        <f t="shared" si="0"/>
        <v>1214274665.24</v>
      </c>
      <c r="E26" s="55">
        <v>63906653.75</v>
      </c>
      <c r="F26" s="56">
        <f>171771/31</f>
        <v>5541</v>
      </c>
      <c r="G26" s="55">
        <f>_xlfn.IFERROR((E26/F26/31)," ")</f>
        <v>372.0456523510953</v>
      </c>
      <c r="I26" s="55">
        <v>27479861.07</v>
      </c>
      <c r="J26" s="55">
        <v>24284528.42</v>
      </c>
      <c r="K26" s="55">
        <v>5112532.32</v>
      </c>
      <c r="L26" s="55">
        <v>6390665.38</v>
      </c>
      <c r="M26" s="55">
        <v>639066.58</v>
      </c>
    </row>
    <row r="27" spans="1:13" ht="13.5" thickBot="1">
      <c r="A27" s="82" t="s">
        <v>15</v>
      </c>
      <c r="B27" s="80">
        <f>SUM(B15:B26)</f>
        <v>13952772574.77</v>
      </c>
      <c r="C27" s="80">
        <f>SUM(C15:C26)</f>
        <v>117515682.30999999</v>
      </c>
      <c r="D27" s="80">
        <f>SUM(D15:D26)</f>
        <v>13138191068.44</v>
      </c>
      <c r="E27" s="80">
        <f>SUM(E15:E26)</f>
        <v>697065824.02</v>
      </c>
      <c r="F27" s="98">
        <f>AVERAGE(F15:F26)</f>
        <v>5548.138434459805</v>
      </c>
      <c r="G27" s="80">
        <f>AVERAGE(G15:G26)</f>
        <v>344.4200352132939</v>
      </c>
      <c r="H27" s="81"/>
      <c r="I27" s="80">
        <f>SUM(I15:I26)</f>
        <v>299738304.27</v>
      </c>
      <c r="J27" s="80">
        <f>SUM(J15:J26)</f>
        <v>264885013.10000002</v>
      </c>
      <c r="K27" s="80">
        <f>SUM(K15:K26)</f>
        <v>55765265.93</v>
      </c>
      <c r="L27" s="80">
        <f>SUM(L15:L26)</f>
        <v>69706582.50999999</v>
      </c>
      <c r="M27" s="80">
        <f>SUM(M15:M26)</f>
        <v>6970658.3100000005</v>
      </c>
    </row>
    <row r="28" spans="2:12" ht="10.5" customHeight="1" thickTop="1">
      <c r="B28" s="79"/>
      <c r="C28" s="79"/>
      <c r="D28" s="79"/>
      <c r="E28" s="79"/>
      <c r="I28" s="79"/>
      <c r="J28" s="79"/>
      <c r="K28" s="79"/>
      <c r="L28" s="79"/>
    </row>
    <row r="29" spans="1:13" s="76" customFormat="1" ht="12.75">
      <c r="A29" s="78"/>
      <c r="B29" s="77"/>
      <c r="C29" s="77">
        <f>C27/B27</f>
        <v>0.008422389290749056</v>
      </c>
      <c r="D29" s="77">
        <f>D27/B27</f>
        <v>0.9416186638200524</v>
      </c>
      <c r="E29" s="77">
        <f>E27/B27</f>
        <v>0.04995894688919851</v>
      </c>
      <c r="I29" s="77">
        <f>I27/$E$27</f>
        <v>0.4299999999159333</v>
      </c>
      <c r="J29" s="77">
        <f>J27/$E$27</f>
        <v>0.3799999999604055</v>
      </c>
      <c r="K29" s="77">
        <f>K27/$E$27</f>
        <v>0.08000000001205052</v>
      </c>
      <c r="L29" s="77">
        <f>L27/$E$27</f>
        <v>0.10000000015493514</v>
      </c>
      <c r="M29" s="77">
        <f>M27/$E$27</f>
        <v>0.010000000100134016</v>
      </c>
    </row>
    <row r="31" spans="1:13" s="69" customFormat="1" ht="12.75">
      <c r="A31" s="104" t="s">
        <v>16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11"/>
    </row>
    <row r="32" ht="12.75">
      <c r="A32" s="59"/>
    </row>
    <row r="33" spans="1:12" s="37" customFormat="1" ht="12.75" customHeight="1">
      <c r="A33" s="33" t="s">
        <v>17</v>
      </c>
      <c r="B33" s="34"/>
      <c r="C33" s="46" t="s">
        <v>58</v>
      </c>
      <c r="D33" s="47"/>
      <c r="E33" s="47"/>
      <c r="F33" s="47"/>
      <c r="G33" s="47"/>
      <c r="H33" s="47"/>
      <c r="I33" s="47"/>
      <c r="J33" s="47"/>
      <c r="K33" s="47"/>
      <c r="L33" s="47"/>
    </row>
    <row r="34" spans="1:12" s="37" customFormat="1" ht="12.75" customHeight="1">
      <c r="A34" s="33"/>
      <c r="B34" s="34"/>
      <c r="C34" s="46" t="s">
        <v>59</v>
      </c>
      <c r="D34" s="47"/>
      <c r="E34" s="47"/>
      <c r="F34" s="47"/>
      <c r="G34" s="47"/>
      <c r="H34" s="47"/>
      <c r="I34" s="47"/>
      <c r="J34" s="47"/>
      <c r="K34" s="47"/>
      <c r="L34" s="47"/>
    </row>
    <row r="35" spans="1:12" ht="6" customHeight="1">
      <c r="A35" s="75"/>
      <c r="B35" s="73"/>
      <c r="C35" s="73"/>
      <c r="F35" s="73"/>
      <c r="G35" s="73"/>
      <c r="H35" s="73"/>
      <c r="I35" s="73"/>
      <c r="J35" s="73"/>
      <c r="K35" s="73"/>
      <c r="L35" s="73"/>
    </row>
    <row r="36" spans="1:13" ht="12.75">
      <c r="A36" s="75" t="s">
        <v>60</v>
      </c>
      <c r="B36" s="73"/>
      <c r="C36" s="73" t="s">
        <v>47</v>
      </c>
      <c r="F36" s="73"/>
      <c r="G36" s="73"/>
      <c r="H36" s="73"/>
      <c r="I36" s="73"/>
      <c r="J36" s="73"/>
      <c r="K36" s="73"/>
      <c r="L36" s="73"/>
      <c r="M36" s="73"/>
    </row>
    <row r="37" spans="1:12" ht="6" customHeight="1">
      <c r="A37" s="75"/>
      <c r="B37" s="73"/>
      <c r="C37" s="73"/>
      <c r="F37" s="73"/>
      <c r="G37" s="73"/>
      <c r="H37" s="73"/>
      <c r="I37" s="73"/>
      <c r="J37" s="73"/>
      <c r="K37" s="73"/>
      <c r="L37" s="73"/>
    </row>
    <row r="38" spans="1:12" ht="12.75">
      <c r="A38" s="75" t="s">
        <v>18</v>
      </c>
      <c r="B38" s="73"/>
      <c r="C38" s="46" t="s">
        <v>63</v>
      </c>
      <c r="F38" s="73"/>
      <c r="G38" s="73"/>
      <c r="H38" s="73"/>
      <c r="I38" s="73"/>
      <c r="J38" s="73"/>
      <c r="K38" s="73"/>
      <c r="L38" s="73"/>
    </row>
    <row r="39" spans="1:12" ht="6" customHeight="1">
      <c r="A39" s="75"/>
      <c r="B39" s="73"/>
      <c r="C39" s="73"/>
      <c r="F39" s="73"/>
      <c r="G39" s="73"/>
      <c r="H39" s="73"/>
      <c r="I39" s="73"/>
      <c r="J39" s="73"/>
      <c r="K39" s="73"/>
      <c r="L39" s="73"/>
    </row>
    <row r="40" spans="1:12" ht="12.75">
      <c r="A40" s="75" t="s">
        <v>20</v>
      </c>
      <c r="B40" s="73"/>
      <c r="C40" s="73" t="s">
        <v>21</v>
      </c>
      <c r="F40" s="74"/>
      <c r="G40" s="73"/>
      <c r="H40" s="73"/>
      <c r="I40" s="73"/>
      <c r="J40" s="73"/>
      <c r="K40" s="73"/>
      <c r="L40" s="73"/>
    </row>
    <row r="41" spans="1:12" ht="12.75">
      <c r="A41" s="75"/>
      <c r="B41" s="73"/>
      <c r="C41" s="73" t="s">
        <v>22</v>
      </c>
      <c r="F41" s="74"/>
      <c r="G41" s="73"/>
      <c r="H41" s="73"/>
      <c r="I41" s="73"/>
      <c r="J41" s="73"/>
      <c r="K41" s="73"/>
      <c r="L41" s="73"/>
    </row>
    <row r="42" spans="1:12" ht="6" customHeight="1">
      <c r="A42" s="75"/>
      <c r="B42" s="73"/>
      <c r="C42" s="73"/>
      <c r="F42" s="74"/>
      <c r="G42" s="73"/>
      <c r="H42" s="73"/>
      <c r="I42" s="73"/>
      <c r="J42" s="73"/>
      <c r="K42" s="73"/>
      <c r="L42" s="73"/>
    </row>
    <row r="43" spans="1:12" ht="12.75">
      <c r="A43" s="75" t="s">
        <v>23</v>
      </c>
      <c r="B43" s="73"/>
      <c r="C43" s="73" t="s">
        <v>24</v>
      </c>
      <c r="F43" s="74"/>
      <c r="G43" s="73"/>
      <c r="H43" s="73"/>
      <c r="I43" s="73"/>
      <c r="J43" s="73"/>
      <c r="K43" s="73"/>
      <c r="L43" s="73"/>
    </row>
    <row r="44" spans="1:12" ht="6" customHeight="1">
      <c r="A44" s="75"/>
      <c r="B44" s="73"/>
      <c r="C44" s="73"/>
      <c r="D44" s="73"/>
      <c r="F44" s="74"/>
      <c r="G44" s="73"/>
      <c r="H44" s="73"/>
      <c r="I44" s="73"/>
      <c r="J44" s="73"/>
      <c r="K44" s="73"/>
      <c r="L44" s="73"/>
    </row>
    <row r="45" spans="1:12" s="37" customFormat="1" ht="12.75">
      <c r="A45" s="33" t="s">
        <v>30</v>
      </c>
      <c r="B45" s="34"/>
      <c r="C45" s="34" t="s">
        <v>31</v>
      </c>
      <c r="D45" s="35"/>
      <c r="E45" s="36"/>
      <c r="F45" s="34"/>
      <c r="G45" s="34"/>
      <c r="H45" s="34"/>
      <c r="I45" s="34"/>
      <c r="J45" s="34"/>
      <c r="K45" s="34"/>
      <c r="L45" s="34"/>
    </row>
    <row r="46" spans="1:12" s="37" customFormat="1" ht="12.75">
      <c r="A46" s="33"/>
      <c r="B46" s="34"/>
      <c r="C46" s="34" t="s">
        <v>43</v>
      </c>
      <c r="D46" s="35"/>
      <c r="E46" s="36"/>
      <c r="F46" s="34"/>
      <c r="G46" s="34"/>
      <c r="H46" s="34"/>
      <c r="I46" s="34"/>
      <c r="J46" s="34"/>
      <c r="K46" s="34"/>
      <c r="L46" s="34"/>
    </row>
    <row r="47" spans="1:12" s="37" customFormat="1" ht="12.75">
      <c r="A47" s="33"/>
      <c r="B47" s="34"/>
      <c r="C47" s="34" t="s">
        <v>44</v>
      </c>
      <c r="D47" s="35"/>
      <c r="E47" s="36"/>
      <c r="F47" s="34"/>
      <c r="G47" s="34"/>
      <c r="H47" s="34"/>
      <c r="I47" s="34"/>
      <c r="J47" s="34"/>
      <c r="K47" s="34"/>
      <c r="L47" s="34"/>
    </row>
    <row r="48" spans="1:12" ht="6" customHeight="1">
      <c r="A48" s="75"/>
      <c r="B48" s="73"/>
      <c r="C48" s="73"/>
      <c r="D48" s="73"/>
      <c r="F48" s="74"/>
      <c r="G48" s="73"/>
      <c r="H48" s="73"/>
      <c r="I48" s="73"/>
      <c r="J48" s="73"/>
      <c r="K48" s="73"/>
      <c r="L48" s="73"/>
    </row>
    <row r="49" spans="1:12" s="37" customFormat="1" ht="12.75">
      <c r="A49" s="33" t="s">
        <v>25</v>
      </c>
      <c r="B49" s="34"/>
      <c r="C49" s="34" t="s">
        <v>32</v>
      </c>
      <c r="D49" s="35"/>
      <c r="E49" s="36"/>
      <c r="F49" s="34"/>
      <c r="G49" s="34"/>
      <c r="H49" s="34"/>
      <c r="I49" s="34"/>
      <c r="J49" s="34"/>
      <c r="K49" s="34"/>
      <c r="L49" s="34"/>
    </row>
    <row r="50" spans="1:12" s="37" customFormat="1" ht="12.75">
      <c r="A50" s="33"/>
      <c r="B50" s="34"/>
      <c r="C50" s="34" t="s">
        <v>33</v>
      </c>
      <c r="D50" s="35"/>
      <c r="E50" s="36"/>
      <c r="F50" s="34"/>
      <c r="G50" s="34"/>
      <c r="H50" s="34"/>
      <c r="I50" s="34"/>
      <c r="J50" s="34"/>
      <c r="K50" s="34"/>
      <c r="L50" s="34"/>
    </row>
    <row r="51" spans="1:12" ht="6" customHeight="1">
      <c r="A51" s="75"/>
      <c r="B51" s="73"/>
      <c r="C51" s="73"/>
      <c r="F51" s="74"/>
      <c r="G51" s="73"/>
      <c r="H51" s="73"/>
      <c r="I51" s="73"/>
      <c r="J51" s="73"/>
      <c r="K51" s="73"/>
      <c r="L51" s="73"/>
    </row>
    <row r="52" spans="1:12" s="37" customFormat="1" ht="12.75">
      <c r="A52" s="33" t="s">
        <v>46</v>
      </c>
      <c r="B52" s="34"/>
      <c r="C52" s="34" t="s">
        <v>34</v>
      </c>
      <c r="D52" s="35"/>
      <c r="E52" s="36"/>
      <c r="F52" s="34"/>
      <c r="G52" s="34"/>
      <c r="H52" s="34"/>
      <c r="I52" s="34"/>
      <c r="J52" s="34"/>
      <c r="K52" s="34"/>
      <c r="L52" s="34"/>
    </row>
    <row r="53" spans="1:12" s="37" customFormat="1" ht="12.75">
      <c r="A53" s="38"/>
      <c r="B53" s="34"/>
      <c r="C53" s="34" t="s">
        <v>35</v>
      </c>
      <c r="D53" s="35"/>
      <c r="E53" s="36"/>
      <c r="F53" s="34"/>
      <c r="G53" s="34"/>
      <c r="H53" s="34"/>
      <c r="I53" s="34"/>
      <c r="J53" s="34"/>
      <c r="K53" s="34"/>
      <c r="L53" s="34"/>
    </row>
    <row r="54" spans="1:12" s="37" customFormat="1" ht="12.75">
      <c r="A54" s="38"/>
      <c r="B54" s="34"/>
      <c r="C54" s="34"/>
      <c r="D54" s="35"/>
      <c r="E54" s="36"/>
      <c r="F54" s="34"/>
      <c r="G54" s="34"/>
      <c r="H54" s="34"/>
      <c r="I54" s="34"/>
      <c r="J54" s="34"/>
      <c r="K54" s="34"/>
      <c r="L54" s="34"/>
    </row>
    <row r="55" spans="1:13" s="37" customFormat="1" ht="12.75">
      <c r="A55" s="33" t="s">
        <v>71</v>
      </c>
      <c r="B55" s="34"/>
      <c r="C55" s="34" t="s">
        <v>72</v>
      </c>
      <c r="E55" s="35"/>
      <c r="F55" s="36"/>
      <c r="G55" s="34"/>
      <c r="H55" s="34"/>
      <c r="I55" s="34"/>
      <c r="J55" s="34"/>
      <c r="K55" s="34"/>
      <c r="L55" s="34"/>
      <c r="M55" s="35"/>
    </row>
    <row r="56" spans="1:13" s="37" customFormat="1" ht="12.75">
      <c r="A56" s="38"/>
      <c r="B56" s="34"/>
      <c r="C56" s="34" t="s">
        <v>73</v>
      </c>
      <c r="E56" s="35"/>
      <c r="F56" s="36"/>
      <c r="G56" s="34"/>
      <c r="H56" s="34"/>
      <c r="I56" s="34"/>
      <c r="J56" s="34"/>
      <c r="K56" s="34"/>
      <c r="L56" s="34"/>
      <c r="M56" s="35"/>
    </row>
    <row r="57" spans="1:13" s="37" customFormat="1" ht="12.75">
      <c r="A57" s="38"/>
      <c r="B57" s="34"/>
      <c r="C57" s="34" t="s">
        <v>74</v>
      </c>
      <c r="E57" s="35"/>
      <c r="F57" s="36"/>
      <c r="G57" s="34"/>
      <c r="H57" s="34"/>
      <c r="I57" s="34"/>
      <c r="J57" s="34"/>
      <c r="K57" s="34"/>
      <c r="L57" s="34"/>
      <c r="M57" s="35"/>
    </row>
    <row r="58" spans="1:13" s="37" customFormat="1" ht="12.75">
      <c r="A58" s="38"/>
      <c r="B58" s="34"/>
      <c r="C58" s="34" t="s">
        <v>75</v>
      </c>
      <c r="E58" s="35"/>
      <c r="F58" s="36"/>
      <c r="G58" s="34"/>
      <c r="H58" s="34"/>
      <c r="I58" s="34"/>
      <c r="J58" s="34"/>
      <c r="K58" s="34"/>
      <c r="L58" s="34"/>
      <c r="M58" s="35"/>
    </row>
    <row r="59" spans="1:12" ht="12.75">
      <c r="A59" s="72"/>
      <c r="B59" s="70"/>
      <c r="C59" s="70"/>
      <c r="D59" s="70"/>
      <c r="E59" s="70"/>
      <c r="F59" s="71"/>
      <c r="G59" s="70"/>
      <c r="H59" s="70"/>
      <c r="I59" s="70"/>
      <c r="J59" s="70"/>
      <c r="K59" s="70"/>
      <c r="L59" s="70"/>
    </row>
    <row r="60" spans="1:13" s="69" customFormat="1" ht="12.75">
      <c r="A60" s="104" t="s">
        <v>26</v>
      </c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11"/>
    </row>
    <row r="61" ht="12.75">
      <c r="A61" s="59"/>
    </row>
    <row r="62" spans="1:13" ht="13.5">
      <c r="A62" s="68"/>
      <c r="B62" s="65"/>
      <c r="D62" s="67" t="s">
        <v>4</v>
      </c>
      <c r="E62" s="106" t="s">
        <v>48</v>
      </c>
      <c r="F62" s="106"/>
      <c r="G62" s="106"/>
      <c r="H62" s="106"/>
      <c r="I62" s="106"/>
      <c r="J62" s="106"/>
      <c r="K62" s="67" t="s">
        <v>5</v>
      </c>
      <c r="L62" s="67" t="s">
        <v>41</v>
      </c>
      <c r="M62" s="67" t="s">
        <v>67</v>
      </c>
    </row>
    <row r="63" spans="1:13" ht="12.75">
      <c r="A63" s="66"/>
      <c r="B63" s="65"/>
      <c r="D63" s="63" t="s">
        <v>12</v>
      </c>
      <c r="E63" s="63" t="s">
        <v>49</v>
      </c>
      <c r="F63" s="63" t="s">
        <v>50</v>
      </c>
      <c r="G63" s="63" t="s">
        <v>51</v>
      </c>
      <c r="H63" s="64"/>
      <c r="I63" s="63" t="s">
        <v>53</v>
      </c>
      <c r="J63" s="63" t="s">
        <v>52</v>
      </c>
      <c r="K63" s="63" t="s">
        <v>14</v>
      </c>
      <c r="L63" s="63" t="s">
        <v>42</v>
      </c>
      <c r="M63" s="63" t="s">
        <v>68</v>
      </c>
    </row>
    <row r="64" spans="1:13" ht="12.75">
      <c r="A64" s="59" t="s">
        <v>69</v>
      </c>
      <c r="B64" s="62"/>
      <c r="D64" s="60">
        <v>0.44</v>
      </c>
      <c r="E64" s="60">
        <v>0.22</v>
      </c>
      <c r="F64" s="60">
        <v>0.075</v>
      </c>
      <c r="G64" s="60">
        <v>0.015</v>
      </c>
      <c r="H64" s="61"/>
      <c r="I64" s="60">
        <v>0.03</v>
      </c>
      <c r="J64" s="60">
        <v>0.04</v>
      </c>
      <c r="K64" s="60">
        <v>0.08</v>
      </c>
      <c r="L64" s="60">
        <v>0.1</v>
      </c>
      <c r="M64" s="60">
        <v>0</v>
      </c>
    </row>
    <row r="65" spans="1:13" ht="12.75">
      <c r="A65" s="59" t="s">
        <v>76</v>
      </c>
      <c r="B65" s="62"/>
      <c r="D65" s="60">
        <v>0.43</v>
      </c>
      <c r="E65" s="60">
        <v>0.22</v>
      </c>
      <c r="F65" s="60">
        <v>0.075</v>
      </c>
      <c r="G65" s="60">
        <v>0.015</v>
      </c>
      <c r="H65" s="61"/>
      <c r="I65" s="60">
        <v>0.03</v>
      </c>
      <c r="J65" s="60">
        <v>0.04</v>
      </c>
      <c r="K65" s="60">
        <v>0.08</v>
      </c>
      <c r="L65" s="60">
        <v>0.1</v>
      </c>
      <c r="M65" s="60">
        <v>0.01</v>
      </c>
    </row>
    <row r="66" spans="1:13" ht="12.75">
      <c r="A66" s="59" t="s">
        <v>70</v>
      </c>
      <c r="B66" s="62"/>
      <c r="D66" s="60">
        <v>0.4</v>
      </c>
      <c r="E66" s="60">
        <v>0.22</v>
      </c>
      <c r="F66" s="60">
        <v>0.075</v>
      </c>
      <c r="G66" s="60">
        <v>0.015</v>
      </c>
      <c r="H66" s="61"/>
      <c r="I66" s="60">
        <v>0.03</v>
      </c>
      <c r="J66" s="60">
        <v>0.04</v>
      </c>
      <c r="K66" s="60">
        <v>0.08</v>
      </c>
      <c r="L66" s="60">
        <v>0.1</v>
      </c>
      <c r="M66" s="60">
        <v>0.04</v>
      </c>
    </row>
    <row r="67" spans="2:12" ht="12.75">
      <c r="B67" s="62"/>
      <c r="D67" s="60"/>
      <c r="E67" s="60"/>
      <c r="F67" s="60"/>
      <c r="G67" s="60"/>
      <c r="H67" s="61"/>
      <c r="I67" s="60"/>
      <c r="J67" s="60"/>
      <c r="K67" s="60"/>
      <c r="L67" s="60"/>
    </row>
    <row r="68" spans="1:12" ht="12.75">
      <c r="A68" s="59" t="s">
        <v>82</v>
      </c>
      <c r="B68" s="62"/>
      <c r="D68" s="60"/>
      <c r="E68" s="60"/>
      <c r="F68" s="60"/>
      <c r="G68" s="60"/>
      <c r="H68" s="61"/>
      <c r="I68" s="60"/>
      <c r="J68" s="60"/>
      <c r="K68" s="60"/>
      <c r="L68" s="60"/>
    </row>
    <row r="69" spans="1:12" ht="12.75">
      <c r="A69" s="59"/>
      <c r="B69" s="62"/>
      <c r="D69" s="60"/>
      <c r="E69" s="60"/>
      <c r="F69" s="60"/>
      <c r="G69" s="60"/>
      <c r="H69" s="61"/>
      <c r="I69" s="60"/>
      <c r="J69" s="60"/>
      <c r="K69" s="60"/>
      <c r="L69" s="60"/>
    </row>
    <row r="70" spans="1:12" ht="12.75">
      <c r="A70" s="59" t="s">
        <v>79</v>
      </c>
      <c r="B70" s="62"/>
      <c r="D70" s="60"/>
      <c r="E70" s="60"/>
      <c r="F70" s="60"/>
      <c r="G70" s="60"/>
      <c r="H70" s="61"/>
      <c r="I70" s="60"/>
      <c r="J70" s="60"/>
      <c r="K70" s="60"/>
      <c r="L70" s="60"/>
    </row>
    <row r="71" ht="12.75">
      <c r="A71" s="59"/>
    </row>
    <row r="72" ht="12.75">
      <c r="A72" s="58" t="s">
        <v>61</v>
      </c>
    </row>
  </sheetData>
  <sheetProtection/>
  <mergeCells count="10">
    <mergeCell ref="I10:M10"/>
    <mergeCell ref="A31:M31"/>
    <mergeCell ref="A60:M60"/>
    <mergeCell ref="E62:J62"/>
    <mergeCell ref="A1:M1"/>
    <mergeCell ref="A2:L2"/>
    <mergeCell ref="A3:L3"/>
    <mergeCell ref="A4:L4"/>
    <mergeCell ref="A5:L5"/>
    <mergeCell ref="A8:M8"/>
  </mergeCells>
  <hyperlinks>
    <hyperlink ref="A4" r:id="rId1" display="www.rwnewyork.com"/>
  </hyperlinks>
  <printOptions/>
  <pageMargins left="0.25" right="0.25" top="0.75" bottom="0.5" header="0.5" footer="0.5"/>
  <pageSetup fitToHeight="1" fitToWidth="1" horizontalDpi="600" verticalDpi="600" orientation="portrait" scale="69" r:id="rId3"/>
  <ignoredErrors>
    <ignoredError sqref="G16:G25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zoomScalePageLayoutView="0" workbookViewId="0" topLeftCell="A16">
      <selection activeCell="F27" sqref="F27:G27"/>
    </sheetView>
  </sheetViews>
  <sheetFormatPr defaultColWidth="9.140625" defaultRowHeight="12.75"/>
  <cols>
    <col min="1" max="1" width="9.28125" style="3" customWidth="1"/>
    <col min="2" max="2" width="15.421875" style="16" bestFit="1" customWidth="1"/>
    <col min="3" max="3" width="13.140625" style="16" customWidth="1"/>
    <col min="4" max="4" width="15.421875" style="16" bestFit="1" customWidth="1"/>
    <col min="5" max="5" width="12.7109375" style="16" customWidth="1"/>
    <col min="6" max="6" width="8.28125" style="17" bestFit="1" customWidth="1"/>
    <col min="7" max="7" width="10.7109375" style="16" customWidth="1"/>
    <col min="8" max="8" width="1.421875" style="16" customWidth="1"/>
    <col min="9" max="10" width="12.7109375" style="16" bestFit="1" customWidth="1"/>
    <col min="11" max="11" width="12.00390625" style="16" customWidth="1"/>
    <col min="12" max="12" width="12.28125" style="16" customWidth="1"/>
    <col min="13" max="13" width="12.7109375" style="0" customWidth="1"/>
    <col min="16" max="16" width="12.7109375" style="0" bestFit="1" customWidth="1"/>
  </cols>
  <sheetData>
    <row r="1" spans="1:13" ht="18">
      <c r="A1" s="117" t="s">
        <v>45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2" ht="15">
      <c r="A2" s="118" t="s">
        <v>36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s="1" customFormat="1" ht="15">
      <c r="A3" s="118" t="s">
        <v>37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s="1" customFormat="1" ht="15">
      <c r="A4" s="109" t="s">
        <v>38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s="1" customFormat="1" ht="14.25">
      <c r="A5" s="119" t="s">
        <v>39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s="1" customFormat="1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s="1" customFormat="1" ht="12.75">
      <c r="A7" s="3"/>
      <c r="B7" s="4"/>
      <c r="C7" s="4"/>
      <c r="D7" s="4"/>
      <c r="E7" s="5"/>
      <c r="F7" s="6"/>
      <c r="G7" s="5"/>
      <c r="H7" s="5"/>
      <c r="I7" s="5"/>
      <c r="J7" s="5"/>
      <c r="K7" s="5"/>
      <c r="L7" s="5"/>
    </row>
    <row r="8" spans="1:13" s="7" customFormat="1" ht="14.25" customHeight="1">
      <c r="A8" s="113" t="s">
        <v>80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5"/>
    </row>
    <row r="9" spans="1:12" s="1" customFormat="1" ht="9" customHeight="1">
      <c r="A9" s="3"/>
      <c r="B9" s="4"/>
      <c r="C9" s="4"/>
      <c r="D9" s="4"/>
      <c r="E9" s="5"/>
      <c r="F9" s="6"/>
      <c r="G9" s="5"/>
      <c r="H9" s="5"/>
      <c r="I9" s="5"/>
      <c r="J9" s="5"/>
      <c r="K9" s="5"/>
      <c r="L9" s="5"/>
    </row>
    <row r="10" spans="1:13" s="1" customFormat="1" ht="12.75">
      <c r="A10" s="3"/>
      <c r="B10" s="5"/>
      <c r="C10" s="5"/>
      <c r="D10" s="5"/>
      <c r="E10" s="5"/>
      <c r="F10" s="6"/>
      <c r="G10" s="5"/>
      <c r="H10" s="5"/>
      <c r="I10" s="112" t="s">
        <v>0</v>
      </c>
      <c r="J10" s="112"/>
      <c r="K10" s="112"/>
      <c r="L10" s="112"/>
      <c r="M10" s="112"/>
    </row>
    <row r="11" spans="1:12" s="1" customFormat="1" ht="7.5" customHeight="1">
      <c r="A11" s="3"/>
      <c r="B11" s="5"/>
      <c r="C11" s="5"/>
      <c r="D11" s="5"/>
      <c r="E11" s="5"/>
      <c r="F11" s="6"/>
      <c r="G11" s="5"/>
      <c r="H11" s="5"/>
      <c r="I11" s="5"/>
      <c r="J11" s="5"/>
      <c r="K11" s="5"/>
      <c r="L11" s="5"/>
    </row>
    <row r="12" spans="1:13" s="12" customFormat="1" ht="12">
      <c r="A12" s="9"/>
      <c r="B12" s="10" t="s">
        <v>1</v>
      </c>
      <c r="C12" s="10" t="s">
        <v>29</v>
      </c>
      <c r="D12" s="10" t="s">
        <v>1</v>
      </c>
      <c r="E12" s="10"/>
      <c r="F12" s="11" t="s">
        <v>2</v>
      </c>
      <c r="G12" s="10" t="s">
        <v>3</v>
      </c>
      <c r="H12" s="10"/>
      <c r="I12" s="10" t="s">
        <v>4</v>
      </c>
      <c r="J12" s="10" t="s">
        <v>40</v>
      </c>
      <c r="K12" s="10" t="s">
        <v>5</v>
      </c>
      <c r="L12" s="10" t="s">
        <v>41</v>
      </c>
      <c r="M12" s="10" t="s">
        <v>67</v>
      </c>
    </row>
    <row r="13" spans="1:13" s="12" customFormat="1" ht="12">
      <c r="A13" s="13" t="s">
        <v>6</v>
      </c>
      <c r="B13" s="8" t="s">
        <v>7</v>
      </c>
      <c r="C13" s="8" t="s">
        <v>14</v>
      </c>
      <c r="D13" s="8" t="s">
        <v>8</v>
      </c>
      <c r="E13" s="8" t="s">
        <v>9</v>
      </c>
      <c r="F13" s="14" t="s">
        <v>10</v>
      </c>
      <c r="G13" s="8" t="s">
        <v>11</v>
      </c>
      <c r="H13" s="15"/>
      <c r="I13" s="8" t="s">
        <v>12</v>
      </c>
      <c r="J13" s="8" t="s">
        <v>13</v>
      </c>
      <c r="K13" s="8" t="s">
        <v>14</v>
      </c>
      <c r="L13" s="8" t="s">
        <v>42</v>
      </c>
      <c r="M13" s="8" t="s">
        <v>68</v>
      </c>
    </row>
    <row r="14" ht="12.75">
      <c r="M14" s="16"/>
    </row>
    <row r="15" spans="1:13" ht="12.75">
      <c r="A15" s="3">
        <v>42826</v>
      </c>
      <c r="B15" s="16">
        <v>1244737719.8499994</v>
      </c>
      <c r="C15" s="16">
        <v>10397652.48</v>
      </c>
      <c r="D15" s="16">
        <f aca="true" t="shared" si="0" ref="D15:D26">+B15-C15-E15</f>
        <v>1171695196.9799993</v>
      </c>
      <c r="E15" s="16">
        <v>62644870.38999999</v>
      </c>
      <c r="F15" s="17">
        <f>152910/30</f>
        <v>5097</v>
      </c>
      <c r="G15" s="16">
        <f>E15/F15/30</f>
        <v>409.68458825452876</v>
      </c>
      <c r="I15" s="16">
        <v>26937294.261599995</v>
      </c>
      <c r="J15" s="16">
        <v>23805050.75</v>
      </c>
      <c r="K15" s="16">
        <v>5011589.6099999985</v>
      </c>
      <c r="L15" s="16">
        <v>6264487.03</v>
      </c>
      <c r="M15" s="16">
        <v>626448.71</v>
      </c>
    </row>
    <row r="16" spans="1:13" ht="12.75">
      <c r="A16" s="3">
        <v>42856</v>
      </c>
      <c r="B16" s="16">
        <v>1235318543.25</v>
      </c>
      <c r="C16" s="16">
        <v>10912961.68</v>
      </c>
      <c r="D16" s="16">
        <f t="shared" si="0"/>
        <v>1162262037.22</v>
      </c>
      <c r="E16" s="16">
        <v>62143544.349999994</v>
      </c>
      <c r="F16" s="17">
        <f>157161/31</f>
        <v>5069.709677419355</v>
      </c>
      <c r="G16" s="16">
        <f>+E16/F16/31</f>
        <v>395.413266331978</v>
      </c>
      <c r="I16" s="16">
        <v>26721724.044</v>
      </c>
      <c r="J16" s="16">
        <v>23614546.839999992</v>
      </c>
      <c r="K16" s="16">
        <v>4971483.550000001</v>
      </c>
      <c r="L16" s="16">
        <v>6214354.450000001</v>
      </c>
      <c r="M16" s="16">
        <v>621435.4700000001</v>
      </c>
    </row>
    <row r="17" spans="1:13" ht="12.75">
      <c r="A17" s="3">
        <v>42887</v>
      </c>
      <c r="B17" s="16">
        <v>1121764013.2599998</v>
      </c>
      <c r="C17" s="16">
        <v>9005927.730000002</v>
      </c>
      <c r="D17" s="16">
        <f t="shared" si="0"/>
        <v>1056003137.1099998</v>
      </c>
      <c r="E17" s="16">
        <v>56754948.41999999</v>
      </c>
      <c r="F17" s="17">
        <f>153387/30</f>
        <v>5112.9</v>
      </c>
      <c r="G17" s="16">
        <f>E17/F17/30</f>
        <v>370.0114639441412</v>
      </c>
      <c r="I17" s="16">
        <v>24404627.8248</v>
      </c>
      <c r="J17" s="16">
        <v>21566880.41</v>
      </c>
      <c r="K17" s="16">
        <v>4540395.88</v>
      </c>
      <c r="L17" s="16">
        <v>5675494.859999999</v>
      </c>
      <c r="M17" s="16">
        <v>567549.4800000001</v>
      </c>
    </row>
    <row r="18" spans="1:13" ht="12.75">
      <c r="A18" s="3">
        <v>42917</v>
      </c>
      <c r="B18" s="16">
        <v>1213333860.4099998</v>
      </c>
      <c r="C18" s="16">
        <v>10270229.620000003</v>
      </c>
      <c r="D18" s="16">
        <f t="shared" si="0"/>
        <v>1143017714.06</v>
      </c>
      <c r="E18" s="16">
        <v>60045916.72999999</v>
      </c>
      <c r="F18" s="17">
        <v>5147</v>
      </c>
      <c r="G18" s="16">
        <v>376</v>
      </c>
      <c r="I18" s="16">
        <v>25819744.211199995</v>
      </c>
      <c r="J18" s="16">
        <v>22817448.34</v>
      </c>
      <c r="K18" s="16">
        <v>4803673.320000001</v>
      </c>
      <c r="L18" s="16">
        <v>6004591.7</v>
      </c>
      <c r="M18" s="16">
        <v>600459.1500000001</v>
      </c>
    </row>
    <row r="19" spans="1:13" ht="12.75">
      <c r="A19" s="3">
        <v>42948</v>
      </c>
      <c r="B19" s="16">
        <v>1146885411.8200002</v>
      </c>
      <c r="C19" s="16">
        <v>10013991.629999997</v>
      </c>
      <c r="D19" s="16">
        <f t="shared" si="0"/>
        <v>1079906433</v>
      </c>
      <c r="E19" s="16">
        <v>56964987.190000005</v>
      </c>
      <c r="F19" s="17">
        <f>160146/31</f>
        <v>5166</v>
      </c>
      <c r="G19" s="16">
        <v>356</v>
      </c>
      <c r="I19" s="16">
        <v>24494944.493600007</v>
      </c>
      <c r="J19" s="16">
        <v>21646695.14</v>
      </c>
      <c r="K19" s="16">
        <v>4557198.9799999995</v>
      </c>
      <c r="L19" s="16">
        <v>5696498.7299999995</v>
      </c>
      <c r="M19" s="16">
        <v>569649.8700000002</v>
      </c>
    </row>
    <row r="20" spans="1:13" ht="12.75">
      <c r="A20" s="3">
        <v>42979</v>
      </c>
      <c r="B20" s="16">
        <v>1117808673.5900002</v>
      </c>
      <c r="C20" s="16">
        <v>8022608.7700000005</v>
      </c>
      <c r="D20" s="16">
        <f t="shared" si="0"/>
        <v>1051062219.0900002</v>
      </c>
      <c r="E20" s="16">
        <v>58723845.72999998</v>
      </c>
      <c r="F20" s="17">
        <f>156336/30</f>
        <v>5211.2</v>
      </c>
      <c r="G20" s="16">
        <f>E20/F20/30</f>
        <v>375.6258681941459</v>
      </c>
      <c r="I20" s="16">
        <v>25251253.67119999</v>
      </c>
      <c r="J20" s="16">
        <v>22315061.369999994</v>
      </c>
      <c r="K20" s="16">
        <v>4697907.66</v>
      </c>
      <c r="L20" s="16">
        <v>5872384.620000001</v>
      </c>
      <c r="M20" s="16">
        <v>587238.45</v>
      </c>
    </row>
    <row r="21" spans="1:14" ht="12.75">
      <c r="A21" s="3">
        <v>43009</v>
      </c>
      <c r="B21" s="16">
        <v>1099823558.07</v>
      </c>
      <c r="C21" s="16">
        <v>7752396.540000001</v>
      </c>
      <c r="D21" s="16">
        <f t="shared" si="0"/>
        <v>1035511386.23</v>
      </c>
      <c r="E21" s="16">
        <v>56559775.300000004</v>
      </c>
      <c r="F21" s="17">
        <f>163872/31</f>
        <v>5286.193548387097</v>
      </c>
      <c r="G21" s="16">
        <f>+E21/F21/31</f>
        <v>345.1460609500098</v>
      </c>
      <c r="I21" s="16">
        <v>24320703.371999998</v>
      </c>
      <c r="J21" s="16">
        <v>21492714.640000004</v>
      </c>
      <c r="K21" s="16">
        <v>4524782.0200000005</v>
      </c>
      <c r="L21" s="16">
        <v>5655977.55</v>
      </c>
      <c r="M21" s="16">
        <v>565597.76</v>
      </c>
      <c r="N21" s="49"/>
    </row>
    <row r="22" spans="1:13" ht="12.75">
      <c r="A22" s="3">
        <v>43040</v>
      </c>
      <c r="B22" s="16">
        <v>1087395053.84</v>
      </c>
      <c r="C22" s="16">
        <v>7544699.3599999985</v>
      </c>
      <c r="D22" s="16">
        <f t="shared" si="0"/>
        <v>1025269068.61</v>
      </c>
      <c r="E22" s="16">
        <v>54581285.86999998</v>
      </c>
      <c r="F22" s="17">
        <f>166404/30</f>
        <v>5546.8</v>
      </c>
      <c r="G22" s="16">
        <f>E22/F22/30</f>
        <v>328.00465054926553</v>
      </c>
      <c r="I22" s="16">
        <v>23469952.92279999</v>
      </c>
      <c r="J22" s="16">
        <v>20740888.63</v>
      </c>
      <c r="K22" s="16">
        <v>4366502.87</v>
      </c>
      <c r="L22" s="16">
        <v>5458128.619999999</v>
      </c>
      <c r="M22" s="16">
        <v>545812.8600000001</v>
      </c>
    </row>
    <row r="23" spans="1:13" ht="12.75">
      <c r="A23" s="3">
        <v>43070</v>
      </c>
      <c r="B23" s="16">
        <v>1109086828.07</v>
      </c>
      <c r="C23" s="16">
        <v>7786229.170000001</v>
      </c>
      <c r="D23" s="16">
        <f t="shared" si="0"/>
        <v>1045121998.1899998</v>
      </c>
      <c r="E23" s="16">
        <v>56178600.71</v>
      </c>
      <c r="F23" s="17">
        <f>172342/31</f>
        <v>5559.419354838709</v>
      </c>
      <c r="G23" s="16">
        <f>+E23/F23/31</f>
        <v>325.97161870002674</v>
      </c>
      <c r="I23" s="16">
        <v>24156798.332399994</v>
      </c>
      <c r="J23" s="16">
        <v>21347868.259999998</v>
      </c>
      <c r="K23" s="16">
        <v>4494288.070000001</v>
      </c>
      <c r="L23" s="16">
        <v>5617860.100000001</v>
      </c>
      <c r="M23" s="16">
        <v>561785.98</v>
      </c>
    </row>
    <row r="24" spans="1:16" ht="12.75">
      <c r="A24" s="3">
        <v>43101</v>
      </c>
      <c r="B24" s="16">
        <v>1086195514.9799998</v>
      </c>
      <c r="C24" s="16">
        <v>8227912.8100000005</v>
      </c>
      <c r="D24" s="16">
        <f t="shared" si="0"/>
        <v>1023972446.5899998</v>
      </c>
      <c r="E24" s="16">
        <v>53995155.580000006</v>
      </c>
      <c r="F24" s="17">
        <f>172570/31</f>
        <v>5566.774193548387</v>
      </c>
      <c r="G24" s="16">
        <f>+E24/F24/31</f>
        <v>312.88842545054183</v>
      </c>
      <c r="I24" s="16">
        <v>23215478.3152</v>
      </c>
      <c r="J24" s="16">
        <v>20520722.699999996</v>
      </c>
      <c r="K24" s="16">
        <v>4317173.880000001</v>
      </c>
      <c r="L24" s="16">
        <v>5400609.890000001</v>
      </c>
      <c r="M24" s="16">
        <v>541170.8499999997</v>
      </c>
      <c r="P24" s="16"/>
    </row>
    <row r="25" spans="1:16" ht="12.75">
      <c r="A25" s="3">
        <v>43132</v>
      </c>
      <c r="B25" s="16">
        <v>1096808152.92</v>
      </c>
      <c r="C25" s="16">
        <v>7900976.49</v>
      </c>
      <c r="D25" s="16">
        <f t="shared" si="0"/>
        <v>1033404512.6500001</v>
      </c>
      <c r="E25" s="16">
        <v>55502663.78</v>
      </c>
      <c r="F25" s="17">
        <f>155260/28</f>
        <v>5545</v>
      </c>
      <c r="G25" s="16">
        <f>+E25/F25/28</f>
        <v>357.4820544892438</v>
      </c>
      <c r="I25" s="16">
        <v>23866145.403199997</v>
      </c>
      <c r="J25" s="16">
        <v>21091012.26</v>
      </c>
      <c r="K25" s="16">
        <v>4440213.09</v>
      </c>
      <c r="L25" s="16">
        <v>5550266.42</v>
      </c>
      <c r="M25" s="16">
        <v>555026.6599999999</v>
      </c>
      <c r="P25" s="16"/>
    </row>
    <row r="26" spans="1:16" ht="12.75">
      <c r="A26" s="3">
        <v>43160</v>
      </c>
      <c r="B26" s="16">
        <v>1246606762.17</v>
      </c>
      <c r="C26" s="16">
        <v>10671441.27</v>
      </c>
      <c r="D26" s="16">
        <f t="shared" si="0"/>
        <v>1172760453.5600002</v>
      </c>
      <c r="E26" s="16">
        <v>63174867.339999996</v>
      </c>
      <c r="F26" s="17">
        <f>171895/31</f>
        <v>5545</v>
      </c>
      <c r="G26" s="16">
        <f>+E26/F26/31</f>
        <v>367.5200985485325</v>
      </c>
      <c r="I26" s="16">
        <v>27165192.9796</v>
      </c>
      <c r="J26" s="16">
        <v>24006449.609999992</v>
      </c>
      <c r="K26" s="16">
        <v>5053989.399999999</v>
      </c>
      <c r="L26" s="16">
        <v>6317486.72</v>
      </c>
      <c r="M26" s="16">
        <v>631748.6500000001</v>
      </c>
      <c r="P26" s="16"/>
    </row>
    <row r="27" spans="1:13" ht="13.5" thickBot="1">
      <c r="A27" s="50" t="s">
        <v>15</v>
      </c>
      <c r="B27" s="51">
        <f>SUM(B15:B26)</f>
        <v>13805764092.229998</v>
      </c>
      <c r="C27" s="51">
        <f>SUM(C15:C26)</f>
        <v>108507027.55</v>
      </c>
      <c r="D27" s="51">
        <f>SUM(D15:D26)</f>
        <v>12999986603.289999</v>
      </c>
      <c r="E27" s="51">
        <f>SUM(E15:E26)</f>
        <v>697270461.39</v>
      </c>
      <c r="F27" s="53">
        <f>AVERAGE(F15:F26)</f>
        <v>5321.0830645161295</v>
      </c>
      <c r="G27" s="51">
        <f>AVERAGE(G15:G26)</f>
        <v>359.9790079510345</v>
      </c>
      <c r="H27" s="52"/>
      <c r="I27" s="51">
        <f>SUM(I15:I26)</f>
        <v>299823859.83159995</v>
      </c>
      <c r="J27" s="51">
        <f>SUM(J15:J26)</f>
        <v>264965338.94999996</v>
      </c>
      <c r="K27" s="51">
        <f>SUM(K15:K26)</f>
        <v>55779198.330000006</v>
      </c>
      <c r="L27" s="51">
        <f>SUM(L15:L26)</f>
        <v>69728140.69</v>
      </c>
      <c r="M27" s="51">
        <f>SUM(M15:M26)</f>
        <v>6973923.890000001</v>
      </c>
    </row>
    <row r="28" spans="2:12" ht="10.5" customHeight="1" thickTop="1">
      <c r="B28" s="19"/>
      <c r="C28" s="19"/>
      <c r="D28" s="19"/>
      <c r="E28" s="19"/>
      <c r="I28" s="19"/>
      <c r="J28" s="19"/>
      <c r="K28" s="19"/>
      <c r="L28" s="19"/>
    </row>
    <row r="29" spans="1:13" s="22" customFormat="1" ht="12.75">
      <c r="A29" s="20"/>
      <c r="B29" s="21"/>
      <c r="C29" s="21">
        <f>C27/B27</f>
        <v>0.00785954524683416</v>
      </c>
      <c r="D29" s="21">
        <f>D27/B27</f>
        <v>0.9416347053624148</v>
      </c>
      <c r="E29" s="21">
        <f>E27/B27</f>
        <v>0.0505057493907512</v>
      </c>
      <c r="I29" s="21">
        <f>I27/$E$27</f>
        <v>0.42999650269696615</v>
      </c>
      <c r="J29" s="21">
        <f>J27/$E$27</f>
        <v>0.3800036766533819</v>
      </c>
      <c r="K29" s="21">
        <f>K27/$E$27</f>
        <v>0.07999650267531033</v>
      </c>
      <c r="L29" s="21">
        <f>L27/$E$27</f>
        <v>0.10000156976533585</v>
      </c>
      <c r="M29" s="21">
        <f>M27/$E$27</f>
        <v>0.010001748641549464</v>
      </c>
    </row>
    <row r="31" spans="1:13" s="23" customFormat="1" ht="12.75">
      <c r="A31" s="113" t="s">
        <v>16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5"/>
    </row>
    <row r="32" ht="12.75">
      <c r="A32" s="24"/>
    </row>
    <row r="33" spans="1:12" s="37" customFormat="1" ht="12.75" customHeight="1">
      <c r="A33" s="33" t="s">
        <v>17</v>
      </c>
      <c r="B33" s="34"/>
      <c r="C33" s="46" t="s">
        <v>58</v>
      </c>
      <c r="D33" s="47"/>
      <c r="E33" s="47"/>
      <c r="F33" s="47"/>
      <c r="G33" s="47"/>
      <c r="H33" s="47"/>
      <c r="I33" s="47"/>
      <c r="J33" s="47"/>
      <c r="K33" s="47"/>
      <c r="L33" s="47"/>
    </row>
    <row r="34" spans="1:12" s="37" customFormat="1" ht="12.75" customHeight="1">
      <c r="A34" s="33"/>
      <c r="B34" s="34"/>
      <c r="C34" s="46" t="s">
        <v>59</v>
      </c>
      <c r="D34" s="47"/>
      <c r="E34" s="47"/>
      <c r="F34" s="47"/>
      <c r="G34" s="47"/>
      <c r="H34" s="47"/>
      <c r="I34" s="47"/>
      <c r="J34" s="47"/>
      <c r="K34" s="47"/>
      <c r="L34" s="47"/>
    </row>
    <row r="35" spans="1:12" ht="6" customHeight="1">
      <c r="A35" s="25"/>
      <c r="B35" s="26"/>
      <c r="C35" s="26"/>
      <c r="F35" s="26"/>
      <c r="G35" s="26"/>
      <c r="H35" s="26"/>
      <c r="I35" s="26"/>
      <c r="J35" s="26"/>
      <c r="K35" s="26"/>
      <c r="L35" s="26"/>
    </row>
    <row r="36" spans="1:13" ht="12.75">
      <c r="A36" s="25" t="s">
        <v>60</v>
      </c>
      <c r="B36" s="26"/>
      <c r="C36" s="26" t="s">
        <v>47</v>
      </c>
      <c r="F36" s="26"/>
      <c r="G36" s="26"/>
      <c r="H36" s="26"/>
      <c r="I36" s="26"/>
      <c r="J36" s="26"/>
      <c r="K36" s="26"/>
      <c r="L36" s="26"/>
      <c r="M36" s="26"/>
    </row>
    <row r="37" spans="1:12" ht="6" customHeight="1">
      <c r="A37" s="25"/>
      <c r="B37" s="26"/>
      <c r="C37" s="26"/>
      <c r="F37" s="26"/>
      <c r="G37" s="26"/>
      <c r="H37" s="26"/>
      <c r="I37" s="26"/>
      <c r="J37" s="26"/>
      <c r="K37" s="26"/>
      <c r="L37" s="26"/>
    </row>
    <row r="38" spans="1:12" ht="12.75">
      <c r="A38" s="25" t="s">
        <v>18</v>
      </c>
      <c r="B38" s="26"/>
      <c r="C38" s="46" t="s">
        <v>63</v>
      </c>
      <c r="F38" s="26"/>
      <c r="G38" s="26"/>
      <c r="H38" s="26"/>
      <c r="I38" s="26"/>
      <c r="J38" s="26"/>
      <c r="K38" s="26"/>
      <c r="L38" s="26"/>
    </row>
    <row r="39" spans="1:12" ht="6" customHeight="1">
      <c r="A39" s="25"/>
      <c r="B39" s="26"/>
      <c r="C39" s="26"/>
      <c r="F39" s="26"/>
      <c r="G39" s="26"/>
      <c r="H39" s="26"/>
      <c r="I39" s="26"/>
      <c r="J39" s="26"/>
      <c r="K39" s="26"/>
      <c r="L39" s="26"/>
    </row>
    <row r="40" spans="1:12" ht="12.75">
      <c r="A40" s="25" t="s">
        <v>20</v>
      </c>
      <c r="B40" s="26"/>
      <c r="C40" s="26" t="s">
        <v>21</v>
      </c>
      <c r="F40" s="27"/>
      <c r="G40" s="26"/>
      <c r="H40" s="26"/>
      <c r="I40" s="26"/>
      <c r="J40" s="26"/>
      <c r="K40" s="26"/>
      <c r="L40" s="26"/>
    </row>
    <row r="41" spans="1:12" ht="12.75">
      <c r="A41" s="25"/>
      <c r="B41" s="26"/>
      <c r="C41" s="26" t="s">
        <v>22</v>
      </c>
      <c r="F41" s="27"/>
      <c r="G41" s="26"/>
      <c r="H41" s="26"/>
      <c r="I41" s="26"/>
      <c r="J41" s="26"/>
      <c r="K41" s="26"/>
      <c r="L41" s="26"/>
    </row>
    <row r="42" spans="1:12" ht="6" customHeight="1">
      <c r="A42" s="25"/>
      <c r="B42" s="26"/>
      <c r="C42" s="26"/>
      <c r="F42" s="27"/>
      <c r="G42" s="26"/>
      <c r="H42" s="26"/>
      <c r="I42" s="26"/>
      <c r="J42" s="26"/>
      <c r="K42" s="26"/>
      <c r="L42" s="26"/>
    </row>
    <row r="43" spans="1:12" ht="12.75">
      <c r="A43" s="25" t="s">
        <v>23</v>
      </c>
      <c r="B43" s="26"/>
      <c r="C43" s="26" t="s">
        <v>24</v>
      </c>
      <c r="F43" s="27"/>
      <c r="G43" s="26"/>
      <c r="H43" s="26"/>
      <c r="I43" s="26"/>
      <c r="J43" s="26"/>
      <c r="K43" s="26"/>
      <c r="L43" s="26"/>
    </row>
    <row r="44" spans="1:12" ht="6" customHeight="1">
      <c r="A44" s="25"/>
      <c r="B44" s="26"/>
      <c r="C44" s="26"/>
      <c r="D44" s="26"/>
      <c r="F44" s="27"/>
      <c r="G44" s="26"/>
      <c r="H44" s="26"/>
      <c r="I44" s="26"/>
      <c r="J44" s="26"/>
      <c r="K44" s="26"/>
      <c r="L44" s="26"/>
    </row>
    <row r="45" spans="1:12" s="37" customFormat="1" ht="12.75">
      <c r="A45" s="33" t="s">
        <v>30</v>
      </c>
      <c r="B45" s="34"/>
      <c r="C45" s="34" t="s">
        <v>31</v>
      </c>
      <c r="D45" s="35"/>
      <c r="E45" s="36"/>
      <c r="F45" s="34"/>
      <c r="G45" s="34"/>
      <c r="H45" s="34"/>
      <c r="I45" s="34"/>
      <c r="J45" s="34"/>
      <c r="K45" s="34"/>
      <c r="L45" s="34"/>
    </row>
    <row r="46" spans="1:12" s="37" customFormat="1" ht="12.75">
      <c r="A46" s="33"/>
      <c r="B46" s="34"/>
      <c r="C46" s="34" t="s">
        <v>43</v>
      </c>
      <c r="D46" s="35"/>
      <c r="E46" s="36"/>
      <c r="F46" s="34"/>
      <c r="G46" s="34"/>
      <c r="H46" s="34"/>
      <c r="I46" s="34"/>
      <c r="J46" s="34"/>
      <c r="K46" s="34"/>
      <c r="L46" s="34"/>
    </row>
    <row r="47" spans="1:12" s="37" customFormat="1" ht="12.75">
      <c r="A47" s="33"/>
      <c r="B47" s="34"/>
      <c r="C47" s="34" t="s">
        <v>44</v>
      </c>
      <c r="D47" s="35"/>
      <c r="E47" s="36"/>
      <c r="F47" s="34"/>
      <c r="G47" s="34"/>
      <c r="H47" s="34"/>
      <c r="I47" s="34"/>
      <c r="J47" s="34"/>
      <c r="K47" s="34"/>
      <c r="L47" s="34"/>
    </row>
    <row r="48" spans="1:12" ht="6" customHeight="1">
      <c r="A48" s="25"/>
      <c r="B48" s="26"/>
      <c r="C48" s="26"/>
      <c r="D48" s="26"/>
      <c r="F48" s="27"/>
      <c r="G48" s="26"/>
      <c r="H48" s="26"/>
      <c r="I48" s="26"/>
      <c r="J48" s="26"/>
      <c r="K48" s="26"/>
      <c r="L48" s="26"/>
    </row>
    <row r="49" spans="1:12" s="37" customFormat="1" ht="12.75">
      <c r="A49" s="33" t="s">
        <v>25</v>
      </c>
      <c r="B49" s="34"/>
      <c r="C49" s="34" t="s">
        <v>32</v>
      </c>
      <c r="D49" s="35"/>
      <c r="E49" s="36"/>
      <c r="F49" s="34"/>
      <c r="G49" s="34"/>
      <c r="H49" s="34"/>
      <c r="I49" s="34"/>
      <c r="J49" s="34"/>
      <c r="K49" s="34"/>
      <c r="L49" s="34"/>
    </row>
    <row r="50" spans="1:12" s="37" customFormat="1" ht="12.75">
      <c r="A50" s="33"/>
      <c r="B50" s="34"/>
      <c r="C50" s="34" t="s">
        <v>33</v>
      </c>
      <c r="D50" s="35"/>
      <c r="E50" s="36"/>
      <c r="F50" s="34"/>
      <c r="G50" s="34"/>
      <c r="H50" s="34"/>
      <c r="I50" s="34"/>
      <c r="J50" s="34"/>
      <c r="K50" s="34"/>
      <c r="L50" s="34"/>
    </row>
    <row r="51" spans="1:12" ht="6" customHeight="1">
      <c r="A51" s="25"/>
      <c r="B51" s="26"/>
      <c r="C51" s="26"/>
      <c r="F51" s="27"/>
      <c r="G51" s="26"/>
      <c r="H51" s="26"/>
      <c r="I51" s="26"/>
      <c r="J51" s="26"/>
      <c r="K51" s="26"/>
      <c r="L51" s="26"/>
    </row>
    <row r="52" spans="1:12" s="37" customFormat="1" ht="12.75">
      <c r="A52" s="33" t="s">
        <v>46</v>
      </c>
      <c r="B52" s="34"/>
      <c r="C52" s="34" t="s">
        <v>34</v>
      </c>
      <c r="D52" s="35"/>
      <c r="E52" s="36"/>
      <c r="F52" s="34"/>
      <c r="G52" s="34"/>
      <c r="H52" s="34"/>
      <c r="I52" s="34"/>
      <c r="J52" s="34"/>
      <c r="K52" s="34"/>
      <c r="L52" s="34"/>
    </row>
    <row r="53" spans="1:12" s="37" customFormat="1" ht="12.75">
      <c r="A53" s="38"/>
      <c r="B53" s="34"/>
      <c r="C53" s="34" t="s">
        <v>35</v>
      </c>
      <c r="D53" s="35"/>
      <c r="E53" s="36"/>
      <c r="F53" s="34"/>
      <c r="G53" s="34"/>
      <c r="H53" s="34"/>
      <c r="I53" s="34"/>
      <c r="J53" s="34"/>
      <c r="K53" s="34"/>
      <c r="L53" s="34"/>
    </row>
    <row r="54" spans="1:12" s="37" customFormat="1" ht="12.75">
      <c r="A54" s="38"/>
      <c r="B54" s="34"/>
      <c r="C54" s="34"/>
      <c r="D54" s="35"/>
      <c r="E54" s="36"/>
      <c r="F54" s="34"/>
      <c r="G54" s="34"/>
      <c r="H54" s="34"/>
      <c r="I54" s="34"/>
      <c r="J54" s="34"/>
      <c r="K54" s="34"/>
      <c r="L54" s="34"/>
    </row>
    <row r="55" spans="1:13" s="37" customFormat="1" ht="12.75">
      <c r="A55" s="33" t="s">
        <v>71</v>
      </c>
      <c r="B55" s="34"/>
      <c r="C55" s="34" t="s">
        <v>72</v>
      </c>
      <c r="E55" s="35"/>
      <c r="F55" s="36"/>
      <c r="G55" s="34"/>
      <c r="H55" s="34"/>
      <c r="I55" s="34"/>
      <c r="J55" s="34"/>
      <c r="K55" s="34"/>
      <c r="L55" s="34"/>
      <c r="M55" s="35"/>
    </row>
    <row r="56" spans="1:13" s="37" customFormat="1" ht="12.75">
      <c r="A56" s="38"/>
      <c r="B56" s="34"/>
      <c r="C56" s="34" t="s">
        <v>73</v>
      </c>
      <c r="E56" s="35"/>
      <c r="F56" s="36"/>
      <c r="G56" s="34"/>
      <c r="H56" s="34"/>
      <c r="I56" s="34"/>
      <c r="J56" s="34"/>
      <c r="K56" s="34"/>
      <c r="L56" s="34"/>
      <c r="M56" s="35"/>
    </row>
    <row r="57" spans="1:13" s="37" customFormat="1" ht="12.75">
      <c r="A57" s="38"/>
      <c r="B57" s="34"/>
      <c r="C57" s="34" t="s">
        <v>74</v>
      </c>
      <c r="E57" s="35"/>
      <c r="F57" s="36"/>
      <c r="G57" s="34"/>
      <c r="H57" s="34"/>
      <c r="I57" s="34"/>
      <c r="J57" s="34"/>
      <c r="K57" s="34"/>
      <c r="L57" s="34"/>
      <c r="M57" s="35"/>
    </row>
    <row r="58" spans="1:13" s="37" customFormat="1" ht="12.75">
      <c r="A58" s="38"/>
      <c r="B58" s="34"/>
      <c r="C58" s="34" t="s">
        <v>75</v>
      </c>
      <c r="E58" s="35"/>
      <c r="F58" s="36"/>
      <c r="G58" s="34"/>
      <c r="H58" s="34"/>
      <c r="I58" s="34"/>
      <c r="J58" s="34"/>
      <c r="K58" s="34"/>
      <c r="L58" s="34"/>
      <c r="M58" s="35"/>
    </row>
    <row r="59" spans="1:12" ht="12.75">
      <c r="A59" s="28"/>
      <c r="B59" s="29"/>
      <c r="C59" s="29"/>
      <c r="D59" s="29"/>
      <c r="E59" s="29"/>
      <c r="F59" s="30"/>
      <c r="G59" s="29"/>
      <c r="H59" s="29"/>
      <c r="I59" s="29"/>
      <c r="J59" s="29"/>
      <c r="K59" s="29"/>
      <c r="L59" s="29"/>
    </row>
    <row r="60" spans="1:13" s="23" customFormat="1" ht="12.75">
      <c r="A60" s="113" t="s">
        <v>26</v>
      </c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5"/>
    </row>
    <row r="61" ht="12.75">
      <c r="A61" s="24"/>
    </row>
    <row r="62" spans="1:13" ht="13.5">
      <c r="A62" s="31"/>
      <c r="B62" s="42"/>
      <c r="D62" s="43" t="s">
        <v>4</v>
      </c>
      <c r="E62" s="116" t="s">
        <v>48</v>
      </c>
      <c r="F62" s="116"/>
      <c r="G62" s="116"/>
      <c r="H62" s="116"/>
      <c r="I62" s="116"/>
      <c r="J62" s="116"/>
      <c r="K62" s="43" t="s">
        <v>5</v>
      </c>
      <c r="L62" s="43" t="s">
        <v>41</v>
      </c>
      <c r="M62" s="43" t="s">
        <v>67</v>
      </c>
    </row>
    <row r="63" spans="1:13" ht="12.75">
      <c r="A63" s="32"/>
      <c r="B63" s="42"/>
      <c r="D63" s="44" t="s">
        <v>12</v>
      </c>
      <c r="E63" s="44" t="s">
        <v>49</v>
      </c>
      <c r="F63" s="44" t="s">
        <v>50</v>
      </c>
      <c r="G63" s="44" t="s">
        <v>51</v>
      </c>
      <c r="H63" s="45"/>
      <c r="I63" s="44" t="s">
        <v>53</v>
      </c>
      <c r="J63" s="44" t="s">
        <v>52</v>
      </c>
      <c r="K63" s="44" t="s">
        <v>14</v>
      </c>
      <c r="L63" s="44" t="s">
        <v>42</v>
      </c>
      <c r="M63" s="44" t="s">
        <v>68</v>
      </c>
    </row>
    <row r="64" spans="1:13" ht="12.75">
      <c r="A64" s="24" t="s">
        <v>69</v>
      </c>
      <c r="B64" s="39"/>
      <c r="D64" s="40">
        <v>0.44</v>
      </c>
      <c r="E64" s="40">
        <v>0.22</v>
      </c>
      <c r="F64" s="40">
        <v>0.075</v>
      </c>
      <c r="G64" s="40">
        <v>0.01</v>
      </c>
      <c r="H64" s="41"/>
      <c r="I64" s="40">
        <v>0.03</v>
      </c>
      <c r="J64" s="40">
        <v>0.04</v>
      </c>
      <c r="K64" s="40">
        <v>0.08</v>
      </c>
      <c r="L64" s="40">
        <v>0.1</v>
      </c>
      <c r="M64" s="40">
        <v>0</v>
      </c>
    </row>
    <row r="65" spans="1:13" ht="12.75">
      <c r="A65" s="24" t="s">
        <v>76</v>
      </c>
      <c r="B65" s="39"/>
      <c r="D65" s="40">
        <v>0.43</v>
      </c>
      <c r="E65" s="40">
        <v>0.22</v>
      </c>
      <c r="F65" s="40">
        <v>0.075</v>
      </c>
      <c r="G65" s="40">
        <v>0.015</v>
      </c>
      <c r="H65" s="41"/>
      <c r="I65" s="40">
        <v>0.03</v>
      </c>
      <c r="J65" s="40">
        <v>0.04</v>
      </c>
      <c r="K65" s="40">
        <v>0.08</v>
      </c>
      <c r="L65" s="40">
        <v>0.1</v>
      </c>
      <c r="M65" s="40">
        <v>0.01</v>
      </c>
    </row>
    <row r="66" spans="1:13" ht="12.75">
      <c r="A66" s="24" t="s">
        <v>70</v>
      </c>
      <c r="B66" s="39"/>
      <c r="D66" s="40">
        <v>0.4</v>
      </c>
      <c r="E66" s="40">
        <v>0.22</v>
      </c>
      <c r="F66" s="40">
        <v>0.075</v>
      </c>
      <c r="G66" s="40">
        <v>0.015</v>
      </c>
      <c r="H66" s="41"/>
      <c r="I66" s="40">
        <v>0.03</v>
      </c>
      <c r="J66" s="40">
        <v>0.04</v>
      </c>
      <c r="K66" s="40">
        <v>0.08</v>
      </c>
      <c r="L66" s="40">
        <v>0.1</v>
      </c>
      <c r="M66" s="40">
        <v>0.04</v>
      </c>
    </row>
    <row r="67" spans="2:12" ht="12.75">
      <c r="B67" s="39"/>
      <c r="D67" s="40"/>
      <c r="E67" s="40"/>
      <c r="F67" s="40"/>
      <c r="G67" s="40"/>
      <c r="H67" s="41"/>
      <c r="I67" s="40"/>
      <c r="J67" s="40"/>
      <c r="K67" s="40"/>
      <c r="L67" s="40"/>
    </row>
    <row r="68" spans="1:12" ht="12.75">
      <c r="A68" s="24" t="s">
        <v>78</v>
      </c>
      <c r="B68" s="39"/>
      <c r="D68" s="40"/>
      <c r="E68" s="40"/>
      <c r="F68" s="40"/>
      <c r="G68" s="40"/>
      <c r="H68" s="41"/>
      <c r="I68" s="40"/>
      <c r="J68" s="40"/>
      <c r="K68" s="40"/>
      <c r="L68" s="40"/>
    </row>
    <row r="69" spans="1:12" ht="12.75">
      <c r="A69" s="24" t="s">
        <v>77</v>
      </c>
      <c r="B69" s="39"/>
      <c r="D69" s="40"/>
      <c r="E69" s="40"/>
      <c r="F69" s="40"/>
      <c r="G69" s="40"/>
      <c r="H69" s="41"/>
      <c r="I69" s="40"/>
      <c r="J69" s="40"/>
      <c r="K69" s="40"/>
      <c r="L69" s="40"/>
    </row>
    <row r="70" spans="1:12" ht="12.75">
      <c r="A70" s="24"/>
      <c r="B70" s="39"/>
      <c r="D70" s="40"/>
      <c r="E70" s="40"/>
      <c r="F70" s="40"/>
      <c r="G70" s="40"/>
      <c r="H70" s="41"/>
      <c r="I70" s="40"/>
      <c r="J70" s="40"/>
      <c r="K70" s="40"/>
      <c r="L70" s="40"/>
    </row>
    <row r="71" spans="1:12" ht="12.75">
      <c r="A71" s="24" t="s">
        <v>79</v>
      </c>
      <c r="B71" s="39"/>
      <c r="D71" s="40"/>
      <c r="E71" s="40"/>
      <c r="F71" s="40"/>
      <c r="G71" s="40"/>
      <c r="H71" s="41"/>
      <c r="I71" s="40"/>
      <c r="J71" s="40"/>
      <c r="K71" s="40"/>
      <c r="L71" s="40"/>
    </row>
    <row r="72" ht="12.75">
      <c r="A72" s="24"/>
    </row>
    <row r="73" ht="12.75">
      <c r="A73" s="48" t="s">
        <v>61</v>
      </c>
    </row>
  </sheetData>
  <sheetProtection/>
  <mergeCells count="10">
    <mergeCell ref="I10:M10"/>
    <mergeCell ref="A31:M31"/>
    <mergeCell ref="A60:M60"/>
    <mergeCell ref="E62:J62"/>
    <mergeCell ref="A1:M1"/>
    <mergeCell ref="A2:L2"/>
    <mergeCell ref="A3:L3"/>
    <mergeCell ref="A4:L4"/>
    <mergeCell ref="A5:L5"/>
    <mergeCell ref="A8:M8"/>
  </mergeCells>
  <hyperlinks>
    <hyperlink ref="A4" r:id="rId1" display="www.rwnewyork.com"/>
  </hyperlinks>
  <printOptions/>
  <pageMargins left="0.25" right="0.25" top="0.75" bottom="0.5" header="0.5" footer="0.5"/>
  <pageSetup fitToHeight="1" fitToWidth="1" horizontalDpi="600" verticalDpi="600" orientation="portrait" scale="6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9.28125" style="3" customWidth="1"/>
    <col min="2" max="2" width="15.421875" style="16" bestFit="1" customWidth="1"/>
    <col min="3" max="3" width="13.140625" style="16" customWidth="1"/>
    <col min="4" max="4" width="15.421875" style="16" bestFit="1" customWidth="1"/>
    <col min="5" max="5" width="12.7109375" style="16" customWidth="1"/>
    <col min="6" max="6" width="8.28125" style="17" bestFit="1" customWidth="1"/>
    <col min="7" max="7" width="10.7109375" style="16" customWidth="1"/>
    <col min="8" max="8" width="1.421875" style="16" customWidth="1"/>
    <col min="9" max="10" width="12.7109375" style="16" bestFit="1" customWidth="1"/>
    <col min="11" max="11" width="12.00390625" style="16" customWidth="1"/>
    <col min="12" max="12" width="12.28125" style="16" customWidth="1"/>
    <col min="13" max="13" width="12.7109375" style="0" customWidth="1"/>
  </cols>
  <sheetData>
    <row r="1" spans="1:13" ht="18">
      <c r="A1" s="117" t="s">
        <v>45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2" ht="15">
      <c r="A2" s="118" t="s">
        <v>36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s="1" customFormat="1" ht="15">
      <c r="A3" s="118" t="s">
        <v>37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s="1" customFormat="1" ht="15">
      <c r="A4" s="109" t="s">
        <v>38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s="1" customFormat="1" ht="14.25">
      <c r="A5" s="119" t="s">
        <v>39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s="1" customFormat="1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s="1" customFormat="1" ht="12.75">
      <c r="A7" s="3"/>
      <c r="B7" s="4"/>
      <c r="C7" s="4"/>
      <c r="D7" s="4"/>
      <c r="E7" s="5"/>
      <c r="F7" s="6"/>
      <c r="G7" s="5"/>
      <c r="H7" s="5"/>
      <c r="I7" s="5"/>
      <c r="J7" s="5"/>
      <c r="K7" s="5"/>
      <c r="L7" s="5"/>
    </row>
    <row r="8" spans="1:13" s="7" customFormat="1" ht="14.25" customHeight="1">
      <c r="A8" s="113" t="s">
        <v>66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5"/>
    </row>
    <row r="9" spans="1:12" s="1" customFormat="1" ht="9" customHeight="1">
      <c r="A9" s="3"/>
      <c r="B9" s="4"/>
      <c r="C9" s="4"/>
      <c r="D9" s="4"/>
      <c r="E9" s="5"/>
      <c r="F9" s="6"/>
      <c r="G9" s="5"/>
      <c r="H9" s="5"/>
      <c r="I9" s="5"/>
      <c r="J9" s="5"/>
      <c r="K9" s="5"/>
      <c r="L9" s="5"/>
    </row>
    <row r="10" spans="1:13" s="1" customFormat="1" ht="12.75">
      <c r="A10" s="3"/>
      <c r="B10" s="5"/>
      <c r="C10" s="5"/>
      <c r="D10" s="5"/>
      <c r="E10" s="5"/>
      <c r="F10" s="6"/>
      <c r="G10" s="5"/>
      <c r="H10" s="5"/>
      <c r="I10" s="112" t="s">
        <v>0</v>
      </c>
      <c r="J10" s="112"/>
      <c r="K10" s="112"/>
      <c r="L10" s="112"/>
      <c r="M10" s="112"/>
    </row>
    <row r="11" spans="1:12" s="1" customFormat="1" ht="7.5" customHeight="1">
      <c r="A11" s="3"/>
      <c r="B11" s="5"/>
      <c r="C11" s="5"/>
      <c r="D11" s="5"/>
      <c r="E11" s="5"/>
      <c r="F11" s="6"/>
      <c r="G11" s="5"/>
      <c r="H11" s="5"/>
      <c r="I11" s="5"/>
      <c r="J11" s="5"/>
      <c r="K11" s="5"/>
      <c r="L11" s="5"/>
    </row>
    <row r="12" spans="1:13" s="12" customFormat="1" ht="12">
      <c r="A12" s="9"/>
      <c r="B12" s="10" t="s">
        <v>1</v>
      </c>
      <c r="C12" s="10" t="s">
        <v>29</v>
      </c>
      <c r="D12" s="10" t="s">
        <v>1</v>
      </c>
      <c r="E12" s="10"/>
      <c r="F12" s="11" t="s">
        <v>2</v>
      </c>
      <c r="G12" s="10" t="s">
        <v>3</v>
      </c>
      <c r="H12" s="10"/>
      <c r="I12" s="10" t="s">
        <v>4</v>
      </c>
      <c r="J12" s="10" t="s">
        <v>40</v>
      </c>
      <c r="K12" s="10" t="s">
        <v>5</v>
      </c>
      <c r="L12" s="10" t="s">
        <v>41</v>
      </c>
      <c r="M12" s="10" t="s">
        <v>67</v>
      </c>
    </row>
    <row r="13" spans="1:13" s="12" customFormat="1" ht="12">
      <c r="A13" s="13" t="s">
        <v>6</v>
      </c>
      <c r="B13" s="8" t="s">
        <v>7</v>
      </c>
      <c r="C13" s="8" t="s">
        <v>14</v>
      </c>
      <c r="D13" s="8" t="s">
        <v>8</v>
      </c>
      <c r="E13" s="8" t="s">
        <v>9</v>
      </c>
      <c r="F13" s="14" t="s">
        <v>10</v>
      </c>
      <c r="G13" s="8" t="s">
        <v>11</v>
      </c>
      <c r="H13" s="15"/>
      <c r="I13" s="8" t="s">
        <v>12</v>
      </c>
      <c r="J13" s="8" t="s">
        <v>13</v>
      </c>
      <c r="K13" s="8" t="s">
        <v>14</v>
      </c>
      <c r="L13" s="8" t="s">
        <v>42</v>
      </c>
      <c r="M13" s="8" t="s">
        <v>68</v>
      </c>
    </row>
    <row r="14" ht="12.75">
      <c r="M14" s="16"/>
    </row>
    <row r="15" spans="1:13" ht="12.75">
      <c r="A15" s="3">
        <v>42461</v>
      </c>
      <c r="B15" s="16">
        <v>1806044435.63</v>
      </c>
      <c r="C15" s="16">
        <v>5970551.89</v>
      </c>
      <c r="D15" s="16">
        <f aca="true" t="shared" si="0" ref="D15:D26">+B15-C15-E15</f>
        <v>1721500581.35</v>
      </c>
      <c r="E15" s="16">
        <v>78573302.39</v>
      </c>
      <c r="F15" s="17">
        <v>5544</v>
      </c>
      <c r="G15" s="16">
        <f>E15/F15/30</f>
        <v>472.422453042328</v>
      </c>
      <c r="I15" s="16">
        <v>34572253.06</v>
      </c>
      <c r="J15" s="16">
        <v>29857854.89</v>
      </c>
      <c r="K15" s="16">
        <v>6285864.14</v>
      </c>
      <c r="L15" s="16">
        <v>7857330.25</v>
      </c>
      <c r="M15" s="16">
        <v>0</v>
      </c>
    </row>
    <row r="16" spans="1:13" ht="12.75">
      <c r="A16" s="3">
        <v>42491</v>
      </c>
      <c r="B16" s="16">
        <v>1765426620.44</v>
      </c>
      <c r="C16" s="16">
        <v>5421955.15</v>
      </c>
      <c r="D16" s="16">
        <f t="shared" si="0"/>
        <v>1685781213.03</v>
      </c>
      <c r="E16" s="16">
        <v>74223452.26</v>
      </c>
      <c r="F16" s="17">
        <v>5543</v>
      </c>
      <c r="G16" s="16">
        <v>432</v>
      </c>
      <c r="I16" s="16">
        <v>32658318.97</v>
      </c>
      <c r="J16" s="16">
        <v>28204911.85</v>
      </c>
      <c r="K16" s="16">
        <v>5937876.21</v>
      </c>
      <c r="L16" s="16">
        <v>7422345.24</v>
      </c>
      <c r="M16" s="16">
        <v>0</v>
      </c>
    </row>
    <row r="17" spans="1:13" ht="12.75">
      <c r="A17" s="3">
        <v>42522</v>
      </c>
      <c r="B17" s="16">
        <v>1603485594.93</v>
      </c>
      <c r="C17" s="16">
        <v>8090845.62</v>
      </c>
      <c r="D17" s="16">
        <f t="shared" si="0"/>
        <v>1528352044.2100003</v>
      </c>
      <c r="E17" s="16">
        <v>67042705.1</v>
      </c>
      <c r="F17" s="17">
        <v>5544</v>
      </c>
      <c r="G17" s="16">
        <v>403</v>
      </c>
      <c r="I17" s="16">
        <v>29498790.24</v>
      </c>
      <c r="J17" s="16">
        <v>25476227.94</v>
      </c>
      <c r="K17" s="16">
        <v>5363416.39</v>
      </c>
      <c r="L17" s="16">
        <v>6704270.51</v>
      </c>
      <c r="M17" s="16">
        <v>0</v>
      </c>
    </row>
    <row r="18" spans="1:13" ht="12.75">
      <c r="A18" s="3">
        <v>42552</v>
      </c>
      <c r="B18" s="16">
        <v>1703421076.3</v>
      </c>
      <c r="C18" s="16">
        <v>7292409.21</v>
      </c>
      <c r="D18" s="16">
        <f t="shared" si="0"/>
        <v>1620927853</v>
      </c>
      <c r="E18" s="16">
        <v>75200814.09</v>
      </c>
      <c r="F18" s="17">
        <v>5545</v>
      </c>
      <c r="G18" s="16">
        <v>437</v>
      </c>
      <c r="I18" s="16">
        <v>33088358.17</v>
      </c>
      <c r="J18" s="16">
        <v>28576309.37</v>
      </c>
      <c r="K18" s="16">
        <v>6016065.14</v>
      </c>
      <c r="L18" s="16">
        <v>7520081.41</v>
      </c>
      <c r="M18" s="16">
        <v>0</v>
      </c>
    </row>
    <row r="19" spans="1:13" ht="12.75">
      <c r="A19" s="3">
        <v>42583</v>
      </c>
      <c r="B19" s="16">
        <v>1621368105.12</v>
      </c>
      <c r="C19" s="16">
        <v>8084705.85</v>
      </c>
      <c r="D19" s="16">
        <f t="shared" si="0"/>
        <v>1542593114.28</v>
      </c>
      <c r="E19" s="16">
        <v>70690284.99</v>
      </c>
      <c r="F19" s="17">
        <v>5545</v>
      </c>
      <c r="G19" s="16">
        <v>411</v>
      </c>
      <c r="I19" s="16">
        <v>31103725.39</v>
      </c>
      <c r="J19" s="16">
        <v>26862308.29</v>
      </c>
      <c r="K19" s="16">
        <v>5655222.79</v>
      </c>
      <c r="L19" s="16">
        <v>7069028.51</v>
      </c>
      <c r="M19" s="16">
        <v>0</v>
      </c>
    </row>
    <row r="20" spans="1:13" ht="12.75">
      <c r="A20" s="3">
        <v>42614</v>
      </c>
      <c r="B20" s="16">
        <v>1621572143.99</v>
      </c>
      <c r="C20" s="16">
        <v>8443280.21</v>
      </c>
      <c r="D20" s="16">
        <f t="shared" si="0"/>
        <v>1545946117.79</v>
      </c>
      <c r="E20" s="16">
        <v>67182745.99</v>
      </c>
      <c r="F20" s="17">
        <v>5545</v>
      </c>
      <c r="G20" s="16">
        <v>404</v>
      </c>
      <c r="I20" s="16">
        <v>29560408.23</v>
      </c>
      <c r="J20" s="16">
        <v>25529443.48</v>
      </c>
      <c r="K20" s="16">
        <v>5374619.69</v>
      </c>
      <c r="L20" s="16">
        <v>6718274.63</v>
      </c>
      <c r="M20" s="16">
        <v>0</v>
      </c>
    </row>
    <row r="21" spans="1:14" ht="12.75">
      <c r="A21" s="3">
        <v>42644</v>
      </c>
      <c r="B21" s="16">
        <v>1394856330.95</v>
      </c>
      <c r="C21" s="16">
        <v>8643407.87</v>
      </c>
      <c r="D21" s="16">
        <f t="shared" si="0"/>
        <v>1322512695.4800003</v>
      </c>
      <c r="E21" s="16">
        <v>63700227.6</v>
      </c>
      <c r="F21" s="17">
        <v>5296</v>
      </c>
      <c r="G21" s="16">
        <v>388</v>
      </c>
      <c r="I21" s="16">
        <v>27716963.12</v>
      </c>
      <c r="J21" s="16">
        <v>24206086.5</v>
      </c>
      <c r="K21" s="16">
        <v>5096018.19</v>
      </c>
      <c r="L21" s="16">
        <v>6370022.78</v>
      </c>
      <c r="M21" s="16">
        <v>311137.03</v>
      </c>
      <c r="N21" s="49"/>
    </row>
    <row r="22" spans="1:13" ht="12.75">
      <c r="A22" s="3">
        <v>42675</v>
      </c>
      <c r="B22" s="16">
        <v>1086616448.98</v>
      </c>
      <c r="C22" s="16">
        <v>6402029.92</v>
      </c>
      <c r="D22" s="16">
        <f t="shared" si="0"/>
        <v>1025511066.39</v>
      </c>
      <c r="E22" s="16">
        <v>54703352.67</v>
      </c>
      <c r="F22" s="17">
        <v>5090</v>
      </c>
      <c r="G22" s="16">
        <v>358</v>
      </c>
      <c r="I22" s="16">
        <v>23522441.66</v>
      </c>
      <c r="J22" s="16">
        <v>20787274.02</v>
      </c>
      <c r="K22" s="16">
        <v>4376268.22</v>
      </c>
      <c r="L22" s="16">
        <v>5470335.27</v>
      </c>
      <c r="M22" s="16">
        <v>547033.51</v>
      </c>
    </row>
    <row r="23" spans="1:13" ht="12.75">
      <c r="A23" s="3">
        <v>42705</v>
      </c>
      <c r="B23" s="16">
        <v>1098752102.05</v>
      </c>
      <c r="C23" s="16">
        <v>5591457.73</v>
      </c>
      <c r="D23" s="16">
        <f t="shared" si="0"/>
        <v>1035588728.3799999</v>
      </c>
      <c r="E23" s="16">
        <v>57571915.94</v>
      </c>
      <c r="F23" s="17">
        <v>5081</v>
      </c>
      <c r="G23" s="16">
        <v>366</v>
      </c>
      <c r="I23" s="16">
        <v>24755923.88</v>
      </c>
      <c r="J23" s="16">
        <v>21877328.06</v>
      </c>
      <c r="K23" s="16">
        <v>4605753.28</v>
      </c>
      <c r="L23" s="16">
        <v>5757191.6</v>
      </c>
      <c r="M23" s="16">
        <v>575719.13</v>
      </c>
    </row>
    <row r="24" spans="1:13" ht="12.75">
      <c r="A24" s="3">
        <v>42736</v>
      </c>
      <c r="B24" s="16">
        <v>1113926768.6</v>
      </c>
      <c r="C24" s="16">
        <v>8048088.83</v>
      </c>
      <c r="D24" s="16">
        <f t="shared" si="0"/>
        <v>1047524022.34</v>
      </c>
      <c r="E24" s="16">
        <v>58354657.43</v>
      </c>
      <c r="F24" s="17">
        <v>5090</v>
      </c>
      <c r="G24" s="16">
        <v>370</v>
      </c>
      <c r="I24" s="16">
        <v>25092502.72</v>
      </c>
      <c r="J24" s="16">
        <v>22174769.82</v>
      </c>
      <c r="K24" s="16">
        <v>4668372.6</v>
      </c>
      <c r="L24" s="16">
        <v>5835465.75</v>
      </c>
      <c r="M24" s="16">
        <v>583546.55</v>
      </c>
    </row>
    <row r="25" spans="1:13" ht="12.75">
      <c r="A25" s="3">
        <v>42767</v>
      </c>
      <c r="B25" s="16">
        <v>1072268617.03</v>
      </c>
      <c r="C25" s="16">
        <v>8130227.98</v>
      </c>
      <c r="D25" s="16">
        <f t="shared" si="0"/>
        <v>1007756182.92</v>
      </c>
      <c r="E25" s="16">
        <v>56382206.13</v>
      </c>
      <c r="F25" s="17">
        <v>5097</v>
      </c>
      <c r="G25" s="16">
        <v>395</v>
      </c>
      <c r="I25" s="16">
        <v>24244348.62</v>
      </c>
      <c r="J25" s="16">
        <v>21425238.35</v>
      </c>
      <c r="K25" s="16">
        <v>4510576.45</v>
      </c>
      <c r="L25" s="16">
        <v>5638220.63</v>
      </c>
      <c r="M25" s="16">
        <v>563822.08</v>
      </c>
    </row>
    <row r="26" spans="1:13" ht="12.75">
      <c r="A26" s="3">
        <v>42795</v>
      </c>
      <c r="B26" s="16">
        <v>1217018879.73</v>
      </c>
      <c r="C26" s="16">
        <v>9387779.38</v>
      </c>
      <c r="D26" s="16">
        <f t="shared" si="0"/>
        <v>1144845192.35</v>
      </c>
      <c r="E26" s="16">
        <f>62778777.56+7130.44</f>
        <v>62785908</v>
      </c>
      <c r="F26" s="17">
        <v>5097</v>
      </c>
      <c r="G26" s="16">
        <v>397</v>
      </c>
      <c r="I26" s="16">
        <f>26994874.4+3066.09</f>
        <v>26997940.49</v>
      </c>
      <c r="J26" s="16">
        <f>23855935.49+2709.57</f>
        <v>23858645.06</v>
      </c>
      <c r="K26" s="16">
        <f>5022302.19+570.44</f>
        <v>5022872.630000001</v>
      </c>
      <c r="L26" s="16">
        <f>6277877.76+713.04</f>
        <v>6278590.8</v>
      </c>
      <c r="M26" s="16">
        <f>627787.73+71.3</f>
        <v>627859.03</v>
      </c>
    </row>
    <row r="27" spans="1:13" ht="13.5" thickBot="1">
      <c r="A27" s="50" t="s">
        <v>15</v>
      </c>
      <c r="B27" s="51">
        <f>SUM(B15:B26)</f>
        <v>17104757123.75</v>
      </c>
      <c r="C27" s="51">
        <f>SUM(C15:C26)</f>
        <v>89506739.64</v>
      </c>
      <c r="D27" s="51">
        <f>SUM(D15:D26)</f>
        <v>16228838811.519999</v>
      </c>
      <c r="E27" s="51">
        <f>SUM(E15:E26)</f>
        <v>786411572.5899999</v>
      </c>
      <c r="F27" s="53">
        <f>AVERAGE(F15:F26)</f>
        <v>5334.75</v>
      </c>
      <c r="G27" s="51">
        <f>AVERAGE(G15:G26)</f>
        <v>402.785204420194</v>
      </c>
      <c r="H27" s="52"/>
      <c r="I27" s="51">
        <f>SUM(I15:I26)</f>
        <v>342811974.54999995</v>
      </c>
      <c r="J27" s="51">
        <f>SUM(J15:J26)</f>
        <v>298836397.63</v>
      </c>
      <c r="K27" s="51">
        <f>SUM(K15:K26)</f>
        <v>62912925.730000004</v>
      </c>
      <c r="L27" s="51">
        <f>SUM(L15:L26)</f>
        <v>78641157.38000001</v>
      </c>
      <c r="M27" s="51">
        <f>SUM(M15:M26)</f>
        <v>3209117.33</v>
      </c>
    </row>
    <row r="28" spans="2:12" ht="10.5" customHeight="1" thickTop="1">
      <c r="B28" s="19"/>
      <c r="C28" s="19"/>
      <c r="D28" s="19"/>
      <c r="E28" s="19"/>
      <c r="I28" s="19"/>
      <c r="J28" s="19"/>
      <c r="K28" s="19"/>
      <c r="L28" s="19"/>
    </row>
    <row r="29" spans="1:13" s="22" customFormat="1" ht="12.75">
      <c r="A29" s="20"/>
      <c r="B29" s="21"/>
      <c r="C29" s="21">
        <f>C27/B27</f>
        <v>0.005232856508422423</v>
      </c>
      <c r="D29" s="21">
        <f>D27/B27</f>
        <v>0.9487909529557841</v>
      </c>
      <c r="E29" s="21">
        <f>E27/B27</f>
        <v>0.045976190535793424</v>
      </c>
      <c r="I29" s="21">
        <f>I27/$E$27</f>
        <v>0.43591929022734116</v>
      </c>
      <c r="J29" s="21">
        <f>J27/$E$27</f>
        <v>0.38000000005823925</v>
      </c>
      <c r="K29" s="21">
        <f>K27/$E$27</f>
        <v>0.07999999990183258</v>
      </c>
      <c r="L29" s="21">
        <f>L27/$E$27</f>
        <v>0.10000000015386348</v>
      </c>
      <c r="M29" s="21">
        <f>M27/$E$27</f>
        <v>0.004080709696871528</v>
      </c>
    </row>
    <row r="31" spans="1:13" s="23" customFormat="1" ht="12.75">
      <c r="A31" s="113" t="s">
        <v>16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5"/>
    </row>
    <row r="32" ht="12.75">
      <c r="A32" s="24"/>
    </row>
    <row r="33" spans="1:12" s="37" customFormat="1" ht="12.75" customHeight="1">
      <c r="A33" s="33" t="s">
        <v>17</v>
      </c>
      <c r="B33" s="34"/>
      <c r="C33" s="46" t="s">
        <v>58</v>
      </c>
      <c r="D33" s="47"/>
      <c r="E33" s="47"/>
      <c r="F33" s="47"/>
      <c r="G33" s="47"/>
      <c r="H33" s="47"/>
      <c r="I33" s="47"/>
      <c r="J33" s="47"/>
      <c r="K33" s="47"/>
      <c r="L33" s="47"/>
    </row>
    <row r="34" spans="1:12" s="37" customFormat="1" ht="12.75" customHeight="1">
      <c r="A34" s="33"/>
      <c r="B34" s="34"/>
      <c r="C34" s="46" t="s">
        <v>59</v>
      </c>
      <c r="D34" s="47"/>
      <c r="E34" s="47"/>
      <c r="F34" s="47"/>
      <c r="G34" s="47"/>
      <c r="H34" s="47"/>
      <c r="I34" s="47"/>
      <c r="J34" s="47"/>
      <c r="K34" s="47"/>
      <c r="L34" s="47"/>
    </row>
    <row r="35" spans="1:12" ht="6" customHeight="1">
      <c r="A35" s="25"/>
      <c r="B35" s="26"/>
      <c r="C35" s="26"/>
      <c r="F35" s="26"/>
      <c r="G35" s="26"/>
      <c r="H35" s="26"/>
      <c r="I35" s="26"/>
      <c r="J35" s="26"/>
      <c r="K35" s="26"/>
      <c r="L35" s="26"/>
    </row>
    <row r="36" spans="1:13" ht="12.75">
      <c r="A36" s="25" t="s">
        <v>60</v>
      </c>
      <c r="B36" s="26"/>
      <c r="C36" s="26" t="s">
        <v>47</v>
      </c>
      <c r="F36" s="26"/>
      <c r="G36" s="26"/>
      <c r="H36" s="26"/>
      <c r="I36" s="26"/>
      <c r="J36" s="26"/>
      <c r="K36" s="26"/>
      <c r="L36" s="26"/>
      <c r="M36" s="26"/>
    </row>
    <row r="37" spans="1:12" ht="6" customHeight="1">
      <c r="A37" s="25"/>
      <c r="B37" s="26"/>
      <c r="C37" s="26"/>
      <c r="F37" s="26"/>
      <c r="G37" s="26"/>
      <c r="H37" s="26"/>
      <c r="I37" s="26"/>
      <c r="J37" s="26"/>
      <c r="K37" s="26"/>
      <c r="L37" s="26"/>
    </row>
    <row r="38" spans="1:12" ht="12.75">
      <c r="A38" s="25" t="s">
        <v>18</v>
      </c>
      <c r="B38" s="26"/>
      <c r="C38" s="46" t="s">
        <v>63</v>
      </c>
      <c r="F38" s="26"/>
      <c r="G38" s="26"/>
      <c r="H38" s="26"/>
      <c r="I38" s="26"/>
      <c r="J38" s="26"/>
      <c r="K38" s="26"/>
      <c r="L38" s="26"/>
    </row>
    <row r="39" spans="1:12" ht="6" customHeight="1">
      <c r="A39" s="25"/>
      <c r="B39" s="26"/>
      <c r="C39" s="26"/>
      <c r="F39" s="26"/>
      <c r="G39" s="26"/>
      <c r="H39" s="26"/>
      <c r="I39" s="26"/>
      <c r="J39" s="26"/>
      <c r="K39" s="26"/>
      <c r="L39" s="26"/>
    </row>
    <row r="40" spans="1:12" ht="12.75">
      <c r="A40" s="25" t="s">
        <v>20</v>
      </c>
      <c r="B40" s="26"/>
      <c r="C40" s="26" t="s">
        <v>21</v>
      </c>
      <c r="F40" s="27"/>
      <c r="G40" s="26"/>
      <c r="H40" s="26"/>
      <c r="I40" s="26"/>
      <c r="J40" s="26"/>
      <c r="K40" s="26"/>
      <c r="L40" s="26"/>
    </row>
    <row r="41" spans="1:12" ht="12.75">
      <c r="A41" s="25"/>
      <c r="B41" s="26"/>
      <c r="C41" s="26" t="s">
        <v>22</v>
      </c>
      <c r="F41" s="27"/>
      <c r="G41" s="26"/>
      <c r="H41" s="26"/>
      <c r="I41" s="26"/>
      <c r="J41" s="26"/>
      <c r="K41" s="26"/>
      <c r="L41" s="26"/>
    </row>
    <row r="42" spans="1:12" ht="6" customHeight="1">
      <c r="A42" s="25"/>
      <c r="B42" s="26"/>
      <c r="C42" s="26"/>
      <c r="F42" s="27"/>
      <c r="G42" s="26"/>
      <c r="H42" s="26"/>
      <c r="I42" s="26"/>
      <c r="J42" s="26"/>
      <c r="K42" s="26"/>
      <c r="L42" s="26"/>
    </row>
    <row r="43" spans="1:12" ht="12.75">
      <c r="A43" s="25" t="s">
        <v>23</v>
      </c>
      <c r="B43" s="26"/>
      <c r="C43" s="26" t="s">
        <v>24</v>
      </c>
      <c r="F43" s="27"/>
      <c r="G43" s="26"/>
      <c r="H43" s="26"/>
      <c r="I43" s="26"/>
      <c r="J43" s="26"/>
      <c r="K43" s="26"/>
      <c r="L43" s="26"/>
    </row>
    <row r="44" spans="1:12" ht="6" customHeight="1">
      <c r="A44" s="25"/>
      <c r="B44" s="26"/>
      <c r="C44" s="26"/>
      <c r="D44" s="26"/>
      <c r="F44" s="27"/>
      <c r="G44" s="26"/>
      <c r="H44" s="26"/>
      <c r="I44" s="26"/>
      <c r="J44" s="26"/>
      <c r="K44" s="26"/>
      <c r="L44" s="26"/>
    </row>
    <row r="45" spans="1:12" s="37" customFormat="1" ht="12.75">
      <c r="A45" s="33" t="s">
        <v>30</v>
      </c>
      <c r="B45" s="34"/>
      <c r="C45" s="34" t="s">
        <v>31</v>
      </c>
      <c r="D45" s="35"/>
      <c r="E45" s="36"/>
      <c r="F45" s="34"/>
      <c r="G45" s="34"/>
      <c r="H45" s="34"/>
      <c r="I45" s="34"/>
      <c r="J45" s="34"/>
      <c r="K45" s="34"/>
      <c r="L45" s="34"/>
    </row>
    <row r="46" spans="1:12" s="37" customFormat="1" ht="12.75">
      <c r="A46" s="33"/>
      <c r="B46" s="34"/>
      <c r="C46" s="34" t="s">
        <v>43</v>
      </c>
      <c r="D46" s="35"/>
      <c r="E46" s="36"/>
      <c r="F46" s="34"/>
      <c r="G46" s="34"/>
      <c r="H46" s="34"/>
      <c r="I46" s="34"/>
      <c r="J46" s="34"/>
      <c r="K46" s="34"/>
      <c r="L46" s="34"/>
    </row>
    <row r="47" spans="1:12" s="37" customFormat="1" ht="12.75">
      <c r="A47" s="33"/>
      <c r="B47" s="34"/>
      <c r="C47" s="34" t="s">
        <v>44</v>
      </c>
      <c r="D47" s="35"/>
      <c r="E47" s="36"/>
      <c r="F47" s="34"/>
      <c r="G47" s="34"/>
      <c r="H47" s="34"/>
      <c r="I47" s="34"/>
      <c r="J47" s="34"/>
      <c r="K47" s="34"/>
      <c r="L47" s="34"/>
    </row>
    <row r="48" spans="1:12" ht="6" customHeight="1">
      <c r="A48" s="25"/>
      <c r="B48" s="26"/>
      <c r="C48" s="26"/>
      <c r="D48" s="26"/>
      <c r="F48" s="27"/>
      <c r="G48" s="26"/>
      <c r="H48" s="26"/>
      <c r="I48" s="26"/>
      <c r="J48" s="26"/>
      <c r="K48" s="26"/>
      <c r="L48" s="26"/>
    </row>
    <row r="49" spans="1:12" s="37" customFormat="1" ht="12.75">
      <c r="A49" s="33" t="s">
        <v>25</v>
      </c>
      <c r="B49" s="34"/>
      <c r="C49" s="34" t="s">
        <v>32</v>
      </c>
      <c r="D49" s="35"/>
      <c r="E49" s="36"/>
      <c r="F49" s="34"/>
      <c r="G49" s="34"/>
      <c r="H49" s="34"/>
      <c r="I49" s="34"/>
      <c r="J49" s="34"/>
      <c r="K49" s="34"/>
      <c r="L49" s="34"/>
    </row>
    <row r="50" spans="1:12" s="37" customFormat="1" ht="12.75">
      <c r="A50" s="33"/>
      <c r="B50" s="34"/>
      <c r="C50" s="34" t="s">
        <v>33</v>
      </c>
      <c r="D50" s="35"/>
      <c r="E50" s="36"/>
      <c r="F50" s="34"/>
      <c r="G50" s="34"/>
      <c r="H50" s="34"/>
      <c r="I50" s="34"/>
      <c r="J50" s="34"/>
      <c r="K50" s="34"/>
      <c r="L50" s="34"/>
    </row>
    <row r="51" spans="1:12" ht="6" customHeight="1">
      <c r="A51" s="25"/>
      <c r="B51" s="26"/>
      <c r="C51" s="26"/>
      <c r="F51" s="27"/>
      <c r="G51" s="26"/>
      <c r="H51" s="26"/>
      <c r="I51" s="26"/>
      <c r="J51" s="26"/>
      <c r="K51" s="26"/>
      <c r="L51" s="26"/>
    </row>
    <row r="52" spans="1:12" s="37" customFormat="1" ht="12.75">
      <c r="A52" s="33" t="s">
        <v>46</v>
      </c>
      <c r="B52" s="34"/>
      <c r="C52" s="34" t="s">
        <v>34</v>
      </c>
      <c r="D52" s="35"/>
      <c r="E52" s="36"/>
      <c r="F52" s="34"/>
      <c r="G52" s="34"/>
      <c r="H52" s="34"/>
      <c r="I52" s="34"/>
      <c r="J52" s="34"/>
      <c r="K52" s="34"/>
      <c r="L52" s="34"/>
    </row>
    <row r="53" spans="1:12" s="37" customFormat="1" ht="12.75">
      <c r="A53" s="38"/>
      <c r="B53" s="34"/>
      <c r="C53" s="34" t="s">
        <v>35</v>
      </c>
      <c r="D53" s="35"/>
      <c r="E53" s="36"/>
      <c r="F53" s="34"/>
      <c r="G53" s="34"/>
      <c r="H53" s="34"/>
      <c r="I53" s="34"/>
      <c r="J53" s="34"/>
      <c r="K53" s="34"/>
      <c r="L53" s="34"/>
    </row>
    <row r="54" spans="1:12" s="37" customFormat="1" ht="12.75">
      <c r="A54" s="38"/>
      <c r="B54" s="34"/>
      <c r="C54" s="34"/>
      <c r="D54" s="35"/>
      <c r="E54" s="36"/>
      <c r="F54" s="34"/>
      <c r="G54" s="34"/>
      <c r="H54" s="34"/>
      <c r="I54" s="34"/>
      <c r="J54" s="34"/>
      <c r="K54" s="34"/>
      <c r="L54" s="34"/>
    </row>
    <row r="55" spans="1:13" s="37" customFormat="1" ht="12.75">
      <c r="A55" s="33" t="s">
        <v>71</v>
      </c>
      <c r="B55" s="34"/>
      <c r="C55" s="34" t="s">
        <v>72</v>
      </c>
      <c r="E55" s="35"/>
      <c r="F55" s="36"/>
      <c r="G55" s="34"/>
      <c r="H55" s="34"/>
      <c r="I55" s="34"/>
      <c r="J55" s="34"/>
      <c r="K55" s="34"/>
      <c r="L55" s="34"/>
      <c r="M55" s="35"/>
    </row>
    <row r="56" spans="1:13" s="37" customFormat="1" ht="12.75">
      <c r="A56" s="38"/>
      <c r="B56" s="34"/>
      <c r="C56" s="34" t="s">
        <v>73</v>
      </c>
      <c r="E56" s="35"/>
      <c r="F56" s="36"/>
      <c r="G56" s="34"/>
      <c r="H56" s="34"/>
      <c r="I56" s="34"/>
      <c r="J56" s="34"/>
      <c r="K56" s="34"/>
      <c r="L56" s="34"/>
      <c r="M56" s="35"/>
    </row>
    <row r="57" spans="1:13" s="37" customFormat="1" ht="12.75">
      <c r="A57" s="38"/>
      <c r="B57" s="34"/>
      <c r="C57" s="34" t="s">
        <v>74</v>
      </c>
      <c r="E57" s="35"/>
      <c r="F57" s="36"/>
      <c r="G57" s="34"/>
      <c r="H57" s="34"/>
      <c r="I57" s="34"/>
      <c r="J57" s="34"/>
      <c r="K57" s="34"/>
      <c r="L57" s="34"/>
      <c r="M57" s="35"/>
    </row>
    <row r="58" spans="1:13" s="37" customFormat="1" ht="12.75">
      <c r="A58" s="38"/>
      <c r="B58" s="34"/>
      <c r="C58" s="34" t="s">
        <v>75</v>
      </c>
      <c r="E58" s="35"/>
      <c r="F58" s="36"/>
      <c r="G58" s="34"/>
      <c r="H58" s="34"/>
      <c r="I58" s="34"/>
      <c r="J58" s="34"/>
      <c r="K58" s="34"/>
      <c r="L58" s="34"/>
      <c r="M58" s="35"/>
    </row>
    <row r="59" spans="1:12" ht="12.75">
      <c r="A59" s="28"/>
      <c r="B59" s="29"/>
      <c r="C59" s="29"/>
      <c r="D59" s="29"/>
      <c r="E59" s="29"/>
      <c r="F59" s="30"/>
      <c r="G59" s="29"/>
      <c r="H59" s="29"/>
      <c r="I59" s="29"/>
      <c r="J59" s="29"/>
      <c r="K59" s="29"/>
      <c r="L59" s="29"/>
    </row>
    <row r="60" spans="1:13" s="23" customFormat="1" ht="12.75">
      <c r="A60" s="113" t="s">
        <v>26</v>
      </c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5"/>
    </row>
    <row r="61" ht="12.75">
      <c r="A61" s="24"/>
    </row>
    <row r="62" spans="1:13" ht="13.5">
      <c r="A62" s="31"/>
      <c r="B62" s="42"/>
      <c r="D62" s="43" t="s">
        <v>4</v>
      </c>
      <c r="E62" s="116" t="s">
        <v>48</v>
      </c>
      <c r="F62" s="116"/>
      <c r="G62" s="116"/>
      <c r="H62" s="116"/>
      <c r="I62" s="116"/>
      <c r="J62" s="116"/>
      <c r="K62" s="43" t="s">
        <v>5</v>
      </c>
      <c r="L62" s="43" t="s">
        <v>41</v>
      </c>
      <c r="M62" s="43" t="s">
        <v>67</v>
      </c>
    </row>
    <row r="63" spans="1:13" ht="12.75">
      <c r="A63" s="32"/>
      <c r="B63" s="42"/>
      <c r="D63" s="44" t="s">
        <v>12</v>
      </c>
      <c r="E63" s="44" t="s">
        <v>49</v>
      </c>
      <c r="F63" s="44" t="s">
        <v>50</v>
      </c>
      <c r="G63" s="44" t="s">
        <v>51</v>
      </c>
      <c r="H63" s="45"/>
      <c r="I63" s="44" t="s">
        <v>53</v>
      </c>
      <c r="J63" s="44" t="s">
        <v>52</v>
      </c>
      <c r="K63" s="44" t="s">
        <v>14</v>
      </c>
      <c r="L63" s="44" t="s">
        <v>42</v>
      </c>
      <c r="M63" s="44" t="s">
        <v>68</v>
      </c>
    </row>
    <row r="64" spans="1:13" ht="12.75">
      <c r="A64" s="24" t="s">
        <v>69</v>
      </c>
      <c r="B64" s="39"/>
      <c r="D64" s="40">
        <v>0.44</v>
      </c>
      <c r="E64" s="40">
        <v>0.22</v>
      </c>
      <c r="F64" s="40">
        <v>0.075</v>
      </c>
      <c r="G64" s="40">
        <v>0.015</v>
      </c>
      <c r="H64" s="41"/>
      <c r="I64" s="40">
        <v>0.03</v>
      </c>
      <c r="J64" s="40">
        <v>0.04</v>
      </c>
      <c r="K64" s="40">
        <v>0.08</v>
      </c>
      <c r="L64" s="40">
        <v>0.1</v>
      </c>
      <c r="M64" s="40">
        <v>0</v>
      </c>
    </row>
    <row r="65" spans="1:13" ht="12.75">
      <c r="A65" s="24" t="s">
        <v>76</v>
      </c>
      <c r="B65" s="39"/>
      <c r="D65" s="40">
        <v>0.43</v>
      </c>
      <c r="E65" s="40">
        <v>0.22</v>
      </c>
      <c r="F65" s="40">
        <v>0.075</v>
      </c>
      <c r="G65" s="40">
        <v>0.015</v>
      </c>
      <c r="H65" s="41"/>
      <c r="I65" s="40">
        <v>0.03</v>
      </c>
      <c r="J65" s="40">
        <v>0.04</v>
      </c>
      <c r="K65" s="40">
        <v>0.08</v>
      </c>
      <c r="L65" s="40">
        <v>0.1</v>
      </c>
      <c r="M65" s="40">
        <v>0.01</v>
      </c>
    </row>
    <row r="66" spans="1:13" ht="12.75">
      <c r="A66" s="24" t="s">
        <v>70</v>
      </c>
      <c r="B66" s="39"/>
      <c r="D66" s="40">
        <v>0.4</v>
      </c>
      <c r="E66" s="40">
        <v>0.22</v>
      </c>
      <c r="F66" s="40">
        <v>0.075</v>
      </c>
      <c r="G66" s="40">
        <v>0.015</v>
      </c>
      <c r="H66" s="41"/>
      <c r="I66" s="40">
        <v>0.03</v>
      </c>
      <c r="J66" s="40">
        <v>0.04</v>
      </c>
      <c r="K66" s="40">
        <v>0.08</v>
      </c>
      <c r="L66" s="40">
        <v>0.1</v>
      </c>
      <c r="M66" s="40">
        <v>0.04</v>
      </c>
    </row>
    <row r="67" spans="2:12" ht="12.75">
      <c r="B67" s="39"/>
      <c r="D67" s="40"/>
      <c r="E67" s="40"/>
      <c r="F67" s="40"/>
      <c r="G67" s="40"/>
      <c r="H67" s="41"/>
      <c r="I67" s="40"/>
      <c r="J67" s="40"/>
      <c r="K67" s="40"/>
      <c r="L67" s="40"/>
    </row>
    <row r="68" spans="1:12" ht="12.75">
      <c r="A68" s="24" t="s">
        <v>78</v>
      </c>
      <c r="B68" s="39"/>
      <c r="D68" s="40"/>
      <c r="E68" s="40"/>
      <c r="F68" s="40"/>
      <c r="G68" s="40"/>
      <c r="H68" s="41"/>
      <c r="I68" s="40"/>
      <c r="J68" s="40"/>
      <c r="K68" s="40"/>
      <c r="L68" s="40"/>
    </row>
    <row r="69" spans="1:12" ht="12.75">
      <c r="A69" s="24" t="s">
        <v>77</v>
      </c>
      <c r="B69" s="39"/>
      <c r="D69" s="40"/>
      <c r="E69" s="40"/>
      <c r="F69" s="40"/>
      <c r="G69" s="40"/>
      <c r="H69" s="41"/>
      <c r="I69" s="40"/>
      <c r="J69" s="40"/>
      <c r="K69" s="40"/>
      <c r="L69" s="40"/>
    </row>
    <row r="70" spans="1:12" ht="12.75">
      <c r="A70" s="24"/>
      <c r="B70" s="39"/>
      <c r="D70" s="40"/>
      <c r="E70" s="40"/>
      <c r="F70" s="40"/>
      <c r="G70" s="40"/>
      <c r="H70" s="41"/>
      <c r="I70" s="40"/>
      <c r="J70" s="40"/>
      <c r="K70" s="40"/>
      <c r="L70" s="40"/>
    </row>
    <row r="71" spans="1:12" ht="12.75">
      <c r="A71" s="24" t="s">
        <v>79</v>
      </c>
      <c r="B71" s="39"/>
      <c r="D71" s="40"/>
      <c r="E71" s="40"/>
      <c r="F71" s="40"/>
      <c r="G71" s="40"/>
      <c r="H71" s="41"/>
      <c r="I71" s="40"/>
      <c r="J71" s="40"/>
      <c r="K71" s="40"/>
      <c r="L71" s="40"/>
    </row>
    <row r="72" ht="12.75">
      <c r="A72" s="24"/>
    </row>
    <row r="73" ht="12.75">
      <c r="A73" s="48" t="s">
        <v>61</v>
      </c>
    </row>
  </sheetData>
  <sheetProtection/>
  <mergeCells count="10">
    <mergeCell ref="A31:M31"/>
    <mergeCell ref="I10:M10"/>
    <mergeCell ref="A8:M8"/>
    <mergeCell ref="A1:M1"/>
    <mergeCell ref="A60:M60"/>
    <mergeCell ref="E62:J62"/>
    <mergeCell ref="A2:L2"/>
    <mergeCell ref="A3:L3"/>
    <mergeCell ref="A4:L4"/>
    <mergeCell ref="A5:L5"/>
  </mergeCells>
  <hyperlinks>
    <hyperlink ref="A4" r:id="rId1" display="www.rwnewyork.com"/>
  </hyperlinks>
  <printOptions/>
  <pageMargins left="0.25" right="0.25" top="0.75" bottom="0.5" header="0.5" footer="0.5"/>
  <pageSetup fitToHeight="1" fitToWidth="1" horizontalDpi="600" verticalDpi="600" orientation="portrait" scale="6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State Lottery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Roddy</dc:creator>
  <cp:keywords/>
  <dc:description/>
  <cp:lastModifiedBy>Nagori, Rubina (GAMING)</cp:lastModifiedBy>
  <cp:lastPrinted>2024-05-06T16:54:19Z</cp:lastPrinted>
  <dcterms:created xsi:type="dcterms:W3CDTF">2007-10-10T21:03:54Z</dcterms:created>
  <dcterms:modified xsi:type="dcterms:W3CDTF">2024-08-05T19:33:52Z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